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160" windowHeight="4170" tabRatio="935" activeTab="4"/>
  </bookViews>
  <sheets>
    <sheet name="Exhibit &amp; Schedules===&gt;" sheetId="1" r:id="rId1"/>
    <sheet name="Index" sheetId="80" r:id="rId2"/>
    <sheet name="Sch M-2.1-G" sheetId="82" r:id="rId3"/>
    <sheet name="Sch M-2.2-G" sheetId="81" r:id="rId4"/>
    <sheet name="Sch M-2.3 Pg.1" sheetId="5" r:id="rId5"/>
    <sheet name="Sch M-2.3 Pg. 2-9" sheetId="6" r:id="rId6"/>
    <sheet name="Summary &amp; Checks ==&gt;" sheetId="89" r:id="rId7"/>
    <sheet name="Revenue Summary B" sheetId="7" r:id="rId8"/>
    <sheet name="Data ==&gt;" sheetId="90" r:id="rId9"/>
    <sheet name="Summary SBR-Transport" sheetId="30" r:id="rId10"/>
    <sheet name="SBR" sheetId="31" r:id="rId11"/>
    <sheet name="12-MO Forecast Summary" sheetId="32" r:id="rId12"/>
    <sheet name="Jul17-Jun18 Retail" sheetId="33" r:id="rId13"/>
    <sheet name="Jul17-Jun18 Transport" sheetId="86" r:id="rId14"/>
    <sheet name="Forcasted Customer Cts" sheetId="66" r:id="rId15"/>
    <sheet name="Forecasted Calendar Month Usage" sheetId="67" r:id="rId16"/>
    <sheet name="Fin Forecast" sheetId="85" r:id="rId17"/>
    <sheet name="Adjustments" sheetId="39" r:id="rId18"/>
    <sheet name="Retail Rates" sheetId="43" r:id="rId19"/>
    <sheet name="Rate Categories" sheetId="44" r:id="rId20"/>
    <sheet name="GSC-DSM-GLT Factors" sheetId="45" r:id="rId21"/>
  </sheets>
  <externalReferences>
    <externalReference r:id="rId22"/>
  </externalReferences>
  <definedNames>
    <definedName name="_xlnm._FilterDatabase" localSheetId="11" hidden="1">'12-MO Forecast Summary'!$A$5:$E$11</definedName>
    <definedName name="_xlnm._FilterDatabase" localSheetId="17" hidden="1">Adjustments!$A$5:$E$22</definedName>
    <definedName name="_xlnm._FilterDatabase" localSheetId="16" hidden="1">'Fin Forecast'!$A$3:$Y$545</definedName>
    <definedName name="_xlnm._FilterDatabase" localSheetId="14" hidden="1">'Forcasted Customer Cts'!$A$5:$BV$40</definedName>
    <definedName name="_xlnm._FilterDatabase" localSheetId="15" hidden="1">'Forecasted Calendar Month Usage'!$A$4:$EG$48</definedName>
    <definedName name="_xlnm._FilterDatabase" localSheetId="12" hidden="1">'Jul17-Jun18 Retail'!$A$5:$BP$5</definedName>
    <definedName name="_xlnm._FilterDatabase" localSheetId="13" hidden="1">'Jul17-Jun18 Transport'!$A$5:$BU$91</definedName>
    <definedName name="_xlnm._FilterDatabase" localSheetId="19" hidden="1">'Rate Categories'!$A$1:$E$33</definedName>
    <definedName name="_xlnm._FilterDatabase" localSheetId="18" hidden="1">'Retail Rates'!$B$6:$E$34</definedName>
    <definedName name="BNE_MESSAGES_HIDDEN" localSheetId="5" hidden="1">#REF!</definedName>
    <definedName name="BNE_MESSAGES_HIDDEN" hidden="1">#REF!</definedName>
    <definedName name="DolUnitFactor">[1]ListsValues!$M$29</definedName>
    <definedName name="_xlnm.Print_Area" localSheetId="1">Index!$A$1:$L$16</definedName>
    <definedName name="_xlnm.Print_Area" localSheetId="7">'Revenue Summary B'!$B$1:$J$41</definedName>
    <definedName name="_xlnm.Print_Area" localSheetId="10">SBR!$A$36:$AO$51</definedName>
    <definedName name="_xlnm.Print_Area" localSheetId="2">'Sch M-2.1-G'!$A$1:$E$33</definedName>
    <definedName name="_xlnm.Print_Area" localSheetId="3">'Sch M-2.2-G'!$A$1:$K$23</definedName>
    <definedName name="_xlnm.Print_Area" localSheetId="5">'Sch M-2.3 Pg. 2-9'!$C$1:$M$336</definedName>
    <definedName name="_xlnm.Print_Area" localSheetId="4">'Sch M-2.3 Pg.1'!$A$1:$H$33</definedName>
    <definedName name="_xlnm.Print_Titles" localSheetId="7">'Revenue Summary B'!$B:$B</definedName>
  </definedNames>
  <calcPr calcId="152511" calcOnSave="0"/>
</workbook>
</file>

<file path=xl/calcChain.xml><?xml version="1.0" encoding="utf-8"?>
<calcChain xmlns="http://schemas.openxmlformats.org/spreadsheetml/2006/main">
  <c r="L284" i="6" l="1"/>
  <c r="M284" i="6" s="1"/>
  <c r="L316" i="6" l="1"/>
  <c r="C23" i="81"/>
  <c r="B23" i="81"/>
  <c r="D23" i="81" l="1"/>
  <c r="I36" i="7"/>
  <c r="C25" i="5" s="1"/>
  <c r="G36" i="7"/>
  <c r="E25" i="5" s="1"/>
  <c r="E36" i="7"/>
  <c r="D25" i="5" s="1"/>
  <c r="M75" i="6" l="1"/>
  <c r="G321" i="6" l="1"/>
  <c r="J321" i="6" s="1"/>
  <c r="M330" i="6"/>
  <c r="M329" i="6"/>
  <c r="M316" i="6"/>
  <c r="L287" i="6" l="1"/>
  <c r="L286" i="6"/>
  <c r="L283" i="6"/>
  <c r="I254" i="6"/>
  <c r="L171" i="6" l="1"/>
  <c r="L68" i="6"/>
  <c r="B30" i="5" l="1"/>
  <c r="B29" i="5"/>
  <c r="D29" i="82"/>
  <c r="E29" i="82" s="1"/>
  <c r="D30" i="82"/>
  <c r="E30" i="82" s="1"/>
  <c r="D31" i="82"/>
  <c r="E31" i="82" s="1"/>
  <c r="D28" i="82"/>
  <c r="E28" i="82" s="1"/>
  <c r="L175" i="6" l="1"/>
  <c r="L114" i="6"/>
  <c r="L250" i="6" s="1"/>
  <c r="L117" i="6"/>
  <c r="M68" i="6" l="1"/>
  <c r="M93" i="33" l="1"/>
  <c r="L93" i="86"/>
  <c r="K94" i="33"/>
  <c r="J94" i="86"/>
  <c r="K101" i="86"/>
  <c r="M98" i="33" l="1"/>
  <c r="M97" i="33"/>
  <c r="M95" i="33"/>
  <c r="L98" i="86"/>
  <c r="L97" i="86"/>
  <c r="L96" i="86"/>
  <c r="L95" i="86"/>
  <c r="BN89" i="86" l="1"/>
  <c r="BM89" i="86"/>
  <c r="BL89" i="86"/>
  <c r="BK89" i="86"/>
  <c r="BJ89" i="86"/>
  <c r="BI89" i="86"/>
  <c r="BG89" i="86"/>
  <c r="BF89" i="86"/>
  <c r="BN88" i="86"/>
  <c r="BM88" i="86"/>
  <c r="BL88" i="86"/>
  <c r="BK88" i="86"/>
  <c r="BJ88" i="86"/>
  <c r="BI88" i="86"/>
  <c r="BG88" i="86"/>
  <c r="BF88" i="86"/>
  <c r="BN87" i="86"/>
  <c r="BM87" i="86"/>
  <c r="BL87" i="86"/>
  <c r="BK87" i="86"/>
  <c r="BJ87" i="86"/>
  <c r="BI87" i="86"/>
  <c r="BG87" i="86"/>
  <c r="BF87" i="86"/>
  <c r="BN86" i="86"/>
  <c r="BM86" i="86"/>
  <c r="BL86" i="86"/>
  <c r="BK86" i="86"/>
  <c r="BJ86" i="86"/>
  <c r="BI86" i="86"/>
  <c r="BG86" i="86"/>
  <c r="BF86" i="86"/>
  <c r="BN85" i="86"/>
  <c r="BM85" i="86"/>
  <c r="BL85" i="86"/>
  <c r="BK85" i="86"/>
  <c r="BJ85" i="86"/>
  <c r="BI85" i="86"/>
  <c r="BG85" i="86"/>
  <c r="BF85" i="86"/>
  <c r="BN84" i="86"/>
  <c r="BM84" i="86"/>
  <c r="BL84" i="86"/>
  <c r="BK84" i="86"/>
  <c r="BJ84" i="86"/>
  <c r="BI84" i="86"/>
  <c r="BG84" i="86"/>
  <c r="BF84" i="86"/>
  <c r="BN82" i="86"/>
  <c r="BM82" i="86"/>
  <c r="BL82" i="86"/>
  <c r="BK82" i="86"/>
  <c r="BJ82" i="86"/>
  <c r="BI82" i="86"/>
  <c r="BG82" i="86"/>
  <c r="BF82" i="86"/>
  <c r="BN81" i="86"/>
  <c r="BM81" i="86"/>
  <c r="BL81" i="86"/>
  <c r="BK81" i="86"/>
  <c r="BJ81" i="86"/>
  <c r="BI81" i="86"/>
  <c r="BG81" i="86"/>
  <c r="BF81" i="86"/>
  <c r="BN80" i="86"/>
  <c r="BM80" i="86"/>
  <c r="BL80" i="86"/>
  <c r="BK80" i="86"/>
  <c r="BJ80" i="86"/>
  <c r="BI80" i="86"/>
  <c r="BG80" i="86"/>
  <c r="BF80" i="86"/>
  <c r="BN79" i="86"/>
  <c r="BM79" i="86"/>
  <c r="BL79" i="86"/>
  <c r="BK79" i="86"/>
  <c r="BJ79" i="86"/>
  <c r="BI79" i="86"/>
  <c r="BG79" i="86"/>
  <c r="BF79" i="86"/>
  <c r="BN78" i="86"/>
  <c r="BM78" i="86"/>
  <c r="BL78" i="86"/>
  <c r="BK78" i="86"/>
  <c r="BJ78" i="86"/>
  <c r="BI78" i="86"/>
  <c r="BG78" i="86"/>
  <c r="BF78" i="86"/>
  <c r="BN77" i="86"/>
  <c r="BM77" i="86"/>
  <c r="BL77" i="86"/>
  <c r="BK77" i="86"/>
  <c r="BJ77" i="86"/>
  <c r="BI77" i="86"/>
  <c r="BG77" i="86"/>
  <c r="BF77" i="86"/>
  <c r="BN75" i="86"/>
  <c r="BM75" i="86"/>
  <c r="BL75" i="86"/>
  <c r="BK75" i="86"/>
  <c r="BJ75" i="86"/>
  <c r="BI75" i="86"/>
  <c r="BG75" i="86"/>
  <c r="BF75" i="86"/>
  <c r="BN74" i="86"/>
  <c r="BM74" i="86"/>
  <c r="BL74" i="86"/>
  <c r="BK74" i="86"/>
  <c r="BJ74" i="86"/>
  <c r="BI74" i="86"/>
  <c r="BG74" i="86"/>
  <c r="BF74" i="86"/>
  <c r="BN73" i="86"/>
  <c r="BM73" i="86"/>
  <c r="BL73" i="86"/>
  <c r="BK73" i="86"/>
  <c r="BJ73" i="86"/>
  <c r="BI73" i="86"/>
  <c r="BG73" i="86"/>
  <c r="BF73" i="86"/>
  <c r="BN72" i="86"/>
  <c r="BM72" i="86"/>
  <c r="BL72" i="86"/>
  <c r="BK72" i="86"/>
  <c r="BJ72" i="86"/>
  <c r="BI72" i="86"/>
  <c r="BG72" i="86"/>
  <c r="BF72" i="86"/>
  <c r="BN71" i="86"/>
  <c r="BM71" i="86"/>
  <c r="BL71" i="86"/>
  <c r="BK71" i="86"/>
  <c r="BJ71" i="86"/>
  <c r="BI71" i="86"/>
  <c r="BG71" i="86"/>
  <c r="BF71" i="86"/>
  <c r="BN70" i="86"/>
  <c r="BM70" i="86"/>
  <c r="BL70" i="86"/>
  <c r="BK70" i="86"/>
  <c r="BJ70" i="86"/>
  <c r="BI70" i="86"/>
  <c r="BG70" i="86"/>
  <c r="BF70" i="86"/>
  <c r="BN68" i="86"/>
  <c r="BM68" i="86"/>
  <c r="BL68" i="86"/>
  <c r="BK68" i="86"/>
  <c r="BJ68" i="86"/>
  <c r="BI68" i="86"/>
  <c r="BG68" i="86"/>
  <c r="BF68" i="86"/>
  <c r="BN67" i="86"/>
  <c r="BM67" i="86"/>
  <c r="BL67" i="86"/>
  <c r="BK67" i="86"/>
  <c r="BJ67" i="86"/>
  <c r="BI67" i="86"/>
  <c r="BG67" i="86"/>
  <c r="BF67" i="86"/>
  <c r="BN66" i="86"/>
  <c r="BM66" i="86"/>
  <c r="BL66" i="86"/>
  <c r="BK66" i="86"/>
  <c r="BJ66" i="86"/>
  <c r="BI66" i="86"/>
  <c r="BG66" i="86"/>
  <c r="BF66" i="86"/>
  <c r="BN65" i="86"/>
  <c r="BM65" i="86"/>
  <c r="BL65" i="86"/>
  <c r="BK65" i="86"/>
  <c r="BJ65" i="86"/>
  <c r="BI65" i="86"/>
  <c r="BG65" i="86"/>
  <c r="BF65" i="86"/>
  <c r="BN64" i="86"/>
  <c r="BM64" i="86"/>
  <c r="BL64" i="86"/>
  <c r="BK64" i="86"/>
  <c r="BJ64" i="86"/>
  <c r="BI64" i="86"/>
  <c r="BG64" i="86"/>
  <c r="BF64" i="86"/>
  <c r="BN63" i="86"/>
  <c r="BM63" i="86"/>
  <c r="BL63" i="86"/>
  <c r="BK63" i="86"/>
  <c r="BJ63" i="86"/>
  <c r="BI63" i="86"/>
  <c r="BG63" i="86"/>
  <c r="BF63" i="86"/>
  <c r="BN61" i="86"/>
  <c r="BM61" i="86"/>
  <c r="BL61" i="86"/>
  <c r="BK61" i="86"/>
  <c r="BJ61" i="86"/>
  <c r="BI61" i="86"/>
  <c r="BG61" i="86"/>
  <c r="BF61" i="86"/>
  <c r="BN60" i="86"/>
  <c r="BM60" i="86"/>
  <c r="BL60" i="86"/>
  <c r="BK60" i="86"/>
  <c r="BJ60" i="86"/>
  <c r="BI60" i="86"/>
  <c r="BG60" i="86"/>
  <c r="BF60" i="86"/>
  <c r="BN59" i="86"/>
  <c r="BM59" i="86"/>
  <c r="BL59" i="86"/>
  <c r="BK59" i="86"/>
  <c r="BJ59" i="86"/>
  <c r="BI59" i="86"/>
  <c r="BG59" i="86"/>
  <c r="BF59" i="86"/>
  <c r="BN58" i="86"/>
  <c r="BM58" i="86"/>
  <c r="BL58" i="86"/>
  <c r="BK58" i="86"/>
  <c r="BJ58" i="86"/>
  <c r="BI58" i="86"/>
  <c r="BG58" i="86"/>
  <c r="BF58" i="86"/>
  <c r="BN57" i="86"/>
  <c r="BM57" i="86"/>
  <c r="BL57" i="86"/>
  <c r="BK57" i="86"/>
  <c r="BJ57" i="86"/>
  <c r="BI57" i="86"/>
  <c r="BG57" i="86"/>
  <c r="BF57" i="86"/>
  <c r="BN56" i="86"/>
  <c r="BM56" i="86"/>
  <c r="BL56" i="86"/>
  <c r="BK56" i="86"/>
  <c r="BJ56" i="86"/>
  <c r="BI56" i="86"/>
  <c r="BG56" i="86"/>
  <c r="BF56" i="86"/>
  <c r="BN54" i="86"/>
  <c r="BM54" i="86"/>
  <c r="BL54" i="86"/>
  <c r="BK54" i="86"/>
  <c r="BJ54" i="86"/>
  <c r="BI54" i="86"/>
  <c r="BG54" i="86"/>
  <c r="BF54" i="86"/>
  <c r="BN53" i="86"/>
  <c r="BM53" i="86"/>
  <c r="BL53" i="86"/>
  <c r="BK53" i="86"/>
  <c r="BJ53" i="86"/>
  <c r="BI53" i="86"/>
  <c r="BG53" i="86"/>
  <c r="BF53" i="86"/>
  <c r="BN52" i="86"/>
  <c r="BM52" i="86"/>
  <c r="BL52" i="86"/>
  <c r="BK52" i="86"/>
  <c r="BJ52" i="86"/>
  <c r="BI52" i="86"/>
  <c r="BG52" i="86"/>
  <c r="BF52" i="86"/>
  <c r="BN51" i="86"/>
  <c r="BM51" i="86"/>
  <c r="BL51" i="86"/>
  <c r="BK51" i="86"/>
  <c r="BJ51" i="86"/>
  <c r="BI51" i="86"/>
  <c r="BG51" i="86"/>
  <c r="BF51" i="86"/>
  <c r="BN50" i="86"/>
  <c r="BM50" i="86"/>
  <c r="BL50" i="86"/>
  <c r="BK50" i="86"/>
  <c r="BJ50" i="86"/>
  <c r="BI50" i="86"/>
  <c r="BG50" i="86"/>
  <c r="BF50" i="86"/>
  <c r="BN49" i="86"/>
  <c r="BM49" i="86"/>
  <c r="BL49" i="86"/>
  <c r="BK49" i="86"/>
  <c r="BJ49" i="86"/>
  <c r="BI49" i="86"/>
  <c r="BG49" i="86"/>
  <c r="BF49" i="86"/>
  <c r="BN47" i="86"/>
  <c r="BM47" i="86"/>
  <c r="BL47" i="86"/>
  <c r="BK47" i="86"/>
  <c r="BJ47" i="86"/>
  <c r="BI47" i="86"/>
  <c r="BG47" i="86"/>
  <c r="BF47" i="86"/>
  <c r="BN46" i="86"/>
  <c r="BM46" i="86"/>
  <c r="BL46" i="86"/>
  <c r="BK46" i="86"/>
  <c r="BJ46" i="86"/>
  <c r="BI46" i="86"/>
  <c r="BG46" i="86"/>
  <c r="BF46" i="86"/>
  <c r="BN45" i="86"/>
  <c r="BM45" i="86"/>
  <c r="BL45" i="86"/>
  <c r="BK45" i="86"/>
  <c r="BJ45" i="86"/>
  <c r="BI45" i="86"/>
  <c r="BG45" i="86"/>
  <c r="BF45" i="86"/>
  <c r="BN44" i="86"/>
  <c r="BM44" i="86"/>
  <c r="BL44" i="86"/>
  <c r="BK44" i="86"/>
  <c r="BJ44" i="86"/>
  <c r="BI44" i="86"/>
  <c r="BG44" i="86"/>
  <c r="BF44" i="86"/>
  <c r="BN43" i="86"/>
  <c r="BM43" i="86"/>
  <c r="BL43" i="86"/>
  <c r="BK43" i="86"/>
  <c r="BJ43" i="86"/>
  <c r="BI43" i="86"/>
  <c r="BG43" i="86"/>
  <c r="BF43" i="86"/>
  <c r="BN42" i="86"/>
  <c r="BM42" i="86"/>
  <c r="BL42" i="86"/>
  <c r="BK42" i="86"/>
  <c r="BJ42" i="86"/>
  <c r="BI42" i="86"/>
  <c r="BG42" i="86"/>
  <c r="BF42" i="86"/>
  <c r="BN40" i="86"/>
  <c r="BM40" i="86"/>
  <c r="BL40" i="86"/>
  <c r="BK40" i="86"/>
  <c r="BJ40" i="86"/>
  <c r="BI40" i="86"/>
  <c r="BG40" i="86"/>
  <c r="BF40" i="86"/>
  <c r="BN39" i="86"/>
  <c r="BM39" i="86"/>
  <c r="BL39" i="86"/>
  <c r="BK39" i="86"/>
  <c r="BJ39" i="86"/>
  <c r="BI39" i="86"/>
  <c r="BG39" i="86"/>
  <c r="BF39" i="86"/>
  <c r="BN38" i="86"/>
  <c r="BM38" i="86"/>
  <c r="BL38" i="86"/>
  <c r="BK38" i="86"/>
  <c r="BJ38" i="86"/>
  <c r="BI38" i="86"/>
  <c r="BG38" i="86"/>
  <c r="BF38" i="86"/>
  <c r="BN37" i="86"/>
  <c r="BM37" i="86"/>
  <c r="BL37" i="86"/>
  <c r="BK37" i="86"/>
  <c r="BJ37" i="86"/>
  <c r="BI37" i="86"/>
  <c r="BG37" i="86"/>
  <c r="BF37" i="86"/>
  <c r="BN36" i="86"/>
  <c r="BM36" i="86"/>
  <c r="BL36" i="86"/>
  <c r="BK36" i="86"/>
  <c r="BJ36" i="86"/>
  <c r="BI36" i="86"/>
  <c r="BG36" i="86"/>
  <c r="BF36" i="86"/>
  <c r="BN35" i="86"/>
  <c r="BM35" i="86"/>
  <c r="BL35" i="86"/>
  <c r="BK35" i="86"/>
  <c r="BJ35" i="86"/>
  <c r="BI35" i="86"/>
  <c r="BG35" i="86"/>
  <c r="BF35" i="86"/>
  <c r="BN33" i="86"/>
  <c r="BM33" i="86"/>
  <c r="BL33" i="86"/>
  <c r="BK33" i="86"/>
  <c r="BJ33" i="86"/>
  <c r="BI33" i="86"/>
  <c r="BG33" i="86"/>
  <c r="BF33" i="86"/>
  <c r="BN32" i="86"/>
  <c r="BM32" i="86"/>
  <c r="BL32" i="86"/>
  <c r="BK32" i="86"/>
  <c r="BJ32" i="86"/>
  <c r="BI32" i="86"/>
  <c r="BG32" i="86"/>
  <c r="BF32" i="86"/>
  <c r="BN31" i="86"/>
  <c r="BM31" i="86"/>
  <c r="BL31" i="86"/>
  <c r="BK31" i="86"/>
  <c r="BJ31" i="86"/>
  <c r="BI31" i="86"/>
  <c r="BG31" i="86"/>
  <c r="BF31" i="86"/>
  <c r="BN30" i="86"/>
  <c r="BM30" i="86"/>
  <c r="BL30" i="86"/>
  <c r="BK30" i="86"/>
  <c r="BJ30" i="86"/>
  <c r="BI30" i="86"/>
  <c r="BG30" i="86"/>
  <c r="BF30" i="86"/>
  <c r="BN29" i="86"/>
  <c r="BM29" i="86"/>
  <c r="BL29" i="86"/>
  <c r="BK29" i="86"/>
  <c r="BJ29" i="86"/>
  <c r="BI29" i="86"/>
  <c r="BG29" i="86"/>
  <c r="BF29" i="86"/>
  <c r="BN28" i="86"/>
  <c r="BM28" i="86"/>
  <c r="BL28" i="86"/>
  <c r="BK28" i="86"/>
  <c r="BJ28" i="86"/>
  <c r="BI28" i="86"/>
  <c r="BG28" i="86"/>
  <c r="BF28" i="86"/>
  <c r="BN26" i="86"/>
  <c r="BM26" i="86"/>
  <c r="BL26" i="86"/>
  <c r="BK26" i="86"/>
  <c r="BJ26" i="86"/>
  <c r="BI26" i="86"/>
  <c r="BG26" i="86"/>
  <c r="BF26" i="86"/>
  <c r="BN25" i="86"/>
  <c r="BM25" i="86"/>
  <c r="BL25" i="86"/>
  <c r="BK25" i="86"/>
  <c r="BJ25" i="86"/>
  <c r="BI25" i="86"/>
  <c r="BG25" i="86"/>
  <c r="BF25" i="86"/>
  <c r="BN24" i="86"/>
  <c r="BM24" i="86"/>
  <c r="BL24" i="86"/>
  <c r="BK24" i="86"/>
  <c r="BJ24" i="86"/>
  <c r="BI24" i="86"/>
  <c r="BG24" i="86"/>
  <c r="BF24" i="86"/>
  <c r="BN23" i="86"/>
  <c r="BM23" i="86"/>
  <c r="BL23" i="86"/>
  <c r="BK23" i="86"/>
  <c r="BJ23" i="86"/>
  <c r="BI23" i="86"/>
  <c r="BG23" i="86"/>
  <c r="BF23" i="86"/>
  <c r="BN22" i="86"/>
  <c r="BM22" i="86"/>
  <c r="BL22" i="86"/>
  <c r="BK22" i="86"/>
  <c r="BJ22" i="86"/>
  <c r="BI22" i="86"/>
  <c r="BG22" i="86"/>
  <c r="BF22" i="86"/>
  <c r="BN21" i="86"/>
  <c r="BM21" i="86"/>
  <c r="BL21" i="86"/>
  <c r="BK21" i="86"/>
  <c r="BJ21" i="86"/>
  <c r="BI21" i="86"/>
  <c r="BG21" i="86"/>
  <c r="BF21" i="86"/>
  <c r="BN19" i="86"/>
  <c r="BM19" i="86"/>
  <c r="BL19" i="86"/>
  <c r="BK19" i="86"/>
  <c r="BJ19" i="86"/>
  <c r="BI19" i="86"/>
  <c r="BG19" i="86"/>
  <c r="BF19" i="86"/>
  <c r="BN18" i="86"/>
  <c r="BM18" i="86"/>
  <c r="BL18" i="86"/>
  <c r="BK18" i="86"/>
  <c r="BJ18" i="86"/>
  <c r="BI18" i="86"/>
  <c r="BG18" i="86"/>
  <c r="BF18" i="86"/>
  <c r="BN17" i="86"/>
  <c r="BM17" i="86"/>
  <c r="BL17" i="86"/>
  <c r="BK17" i="86"/>
  <c r="BJ17" i="86"/>
  <c r="BI17" i="86"/>
  <c r="BG17" i="86"/>
  <c r="BF17" i="86"/>
  <c r="BN16" i="86"/>
  <c r="BM16" i="86"/>
  <c r="BL16" i="86"/>
  <c r="BK16" i="86"/>
  <c r="BJ16" i="86"/>
  <c r="BI16" i="86"/>
  <c r="BG16" i="86"/>
  <c r="BF16" i="86"/>
  <c r="BN15" i="86"/>
  <c r="BM15" i="86"/>
  <c r="BL15" i="86"/>
  <c r="BK15" i="86"/>
  <c r="BJ15" i="86"/>
  <c r="BI15" i="86"/>
  <c r="BG15" i="86"/>
  <c r="BF15" i="86"/>
  <c r="BN14" i="86"/>
  <c r="BM14" i="86"/>
  <c r="BL14" i="86"/>
  <c r="BK14" i="86"/>
  <c r="BJ14" i="86"/>
  <c r="BI14" i="86"/>
  <c r="BG14" i="86"/>
  <c r="BF14" i="86"/>
  <c r="BN12" i="86"/>
  <c r="BM12" i="86"/>
  <c r="BL12" i="86"/>
  <c r="BK12" i="86"/>
  <c r="BJ12" i="86"/>
  <c r="BI12" i="86"/>
  <c r="BG12" i="86"/>
  <c r="BF12" i="86"/>
  <c r="BN11" i="86"/>
  <c r="BM11" i="86"/>
  <c r="BL11" i="86"/>
  <c r="BK11" i="86"/>
  <c r="BJ11" i="86"/>
  <c r="BI11" i="86"/>
  <c r="BG11" i="86"/>
  <c r="BF11" i="86"/>
  <c r="BN10" i="86"/>
  <c r="BM10" i="86"/>
  <c r="BL10" i="86"/>
  <c r="BK10" i="86"/>
  <c r="BJ10" i="86"/>
  <c r="BI10" i="86"/>
  <c r="BG10" i="86"/>
  <c r="BF10" i="86"/>
  <c r="BN9" i="86"/>
  <c r="BM9" i="86"/>
  <c r="BL9" i="86"/>
  <c r="BK9" i="86"/>
  <c r="BJ9" i="86"/>
  <c r="BI9" i="86"/>
  <c r="BG9" i="86"/>
  <c r="BF9" i="86"/>
  <c r="BN8" i="86"/>
  <c r="BM8" i="86"/>
  <c r="BL8" i="86"/>
  <c r="BK8" i="86"/>
  <c r="BJ8" i="86"/>
  <c r="BI8" i="86"/>
  <c r="BG8" i="86"/>
  <c r="BF8" i="86"/>
  <c r="BN7" i="86"/>
  <c r="BM7" i="86"/>
  <c r="BL7" i="86"/>
  <c r="BK7" i="86"/>
  <c r="BJ7" i="86"/>
  <c r="BI7" i="86"/>
  <c r="BG7" i="86"/>
  <c r="BF7" i="86"/>
  <c r="AT99" i="33" l="1"/>
  <c r="AT98" i="33"/>
  <c r="AT97" i="33"/>
  <c r="AT96" i="33"/>
  <c r="AT95" i="33"/>
  <c r="AT94" i="33"/>
  <c r="BI100" i="86"/>
  <c r="BI99" i="86"/>
  <c r="BI98" i="86"/>
  <c r="BI97" i="86"/>
  <c r="BI95" i="86"/>
  <c r="BH99" i="86"/>
  <c r="BG97" i="86"/>
  <c r="BG95" i="86" l="1"/>
  <c r="BG99" i="86"/>
  <c r="BH97" i="86"/>
  <c r="BF90" i="86"/>
  <c r="BG103" i="86" s="1"/>
  <c r="BG100" i="86"/>
  <c r="BH98" i="86"/>
  <c r="BG90" i="86"/>
  <c r="BH103" i="86" s="1"/>
  <c r="BG98" i="86"/>
  <c r="BH96" i="86"/>
  <c r="BH100" i="86"/>
  <c r="BN90" i="86"/>
  <c r="BI103" i="86" s="1"/>
  <c r="BG96" i="86"/>
  <c r="BI96" i="86"/>
  <c r="BI102" i="86" s="1"/>
  <c r="BH95" i="86"/>
  <c r="M96" i="33"/>
  <c r="BG102" i="86" l="1"/>
  <c r="BG104" i="86" s="1"/>
  <c r="BH102" i="86"/>
  <c r="BH107" i="86" s="1"/>
  <c r="BI107" i="86"/>
  <c r="BI104" i="86"/>
  <c r="K87" i="86"/>
  <c r="BG107" i="86" l="1"/>
  <c r="BH104" i="86"/>
  <c r="AZ89" i="86"/>
  <c r="AZ88" i="86"/>
  <c r="AZ87" i="86"/>
  <c r="AZ86" i="86"/>
  <c r="AZ85" i="86"/>
  <c r="AZ84" i="86"/>
  <c r="AZ82" i="86"/>
  <c r="AZ81" i="86"/>
  <c r="AZ80" i="86"/>
  <c r="AZ79" i="86"/>
  <c r="AZ78" i="86"/>
  <c r="AZ77" i="86"/>
  <c r="AZ75" i="86"/>
  <c r="AZ74" i="86"/>
  <c r="AZ73" i="86"/>
  <c r="AZ72" i="86"/>
  <c r="AZ71" i="86"/>
  <c r="AZ70" i="86"/>
  <c r="AZ68" i="86"/>
  <c r="AZ67" i="86"/>
  <c r="AZ66" i="86"/>
  <c r="AZ65" i="86"/>
  <c r="AZ64" i="86"/>
  <c r="AZ63" i="86"/>
  <c r="AZ61" i="86"/>
  <c r="AZ60" i="86"/>
  <c r="AZ59" i="86"/>
  <c r="AZ58" i="86"/>
  <c r="AZ57" i="86"/>
  <c r="AZ56" i="86"/>
  <c r="AZ54" i="86"/>
  <c r="AZ53" i="86"/>
  <c r="AZ52" i="86"/>
  <c r="AZ51" i="86"/>
  <c r="AZ50" i="86"/>
  <c r="AZ49" i="86"/>
  <c r="AZ47" i="86"/>
  <c r="AZ46" i="86"/>
  <c r="AZ45" i="86"/>
  <c r="AZ44" i="86"/>
  <c r="AZ43" i="86"/>
  <c r="AZ42" i="86"/>
  <c r="AZ40" i="86"/>
  <c r="AZ39" i="86"/>
  <c r="AZ38" i="86"/>
  <c r="AZ37" i="86"/>
  <c r="AZ36" i="86"/>
  <c r="AZ35" i="86"/>
  <c r="AZ33" i="86"/>
  <c r="AZ32" i="86"/>
  <c r="AZ31" i="86"/>
  <c r="AZ30" i="86"/>
  <c r="AZ29" i="86"/>
  <c r="AZ28" i="86"/>
  <c r="AZ26" i="86"/>
  <c r="AZ25" i="86"/>
  <c r="AZ24" i="86"/>
  <c r="AZ23" i="86"/>
  <c r="AZ22" i="86"/>
  <c r="AZ21" i="86"/>
  <c r="AZ19" i="86"/>
  <c r="AZ18" i="86"/>
  <c r="AZ17" i="86"/>
  <c r="AZ16" i="86"/>
  <c r="AZ15" i="86"/>
  <c r="AZ14" i="86"/>
  <c r="AZ12" i="86"/>
  <c r="AZ11" i="86"/>
  <c r="AZ10" i="86"/>
  <c r="AZ9" i="86"/>
  <c r="AZ8" i="86"/>
  <c r="AZ7" i="86"/>
  <c r="L86" i="86"/>
  <c r="L79" i="86"/>
  <c r="L72" i="86"/>
  <c r="L30" i="86"/>
  <c r="L23" i="86"/>
  <c r="AI49" i="67"/>
  <c r="AH49" i="67"/>
  <c r="AG49" i="67"/>
  <c r="AF49" i="67"/>
  <c r="AE49" i="67"/>
  <c r="AD49" i="67"/>
  <c r="AC49" i="67"/>
  <c r="AB49" i="67"/>
  <c r="AA49" i="67"/>
  <c r="Z49" i="67"/>
  <c r="Y49" i="67"/>
  <c r="L16" i="86"/>
  <c r="L9" i="86"/>
  <c r="X49" i="67"/>
  <c r="AI48" i="67"/>
  <c r="AH48" i="67"/>
  <c r="AG48" i="67"/>
  <c r="AF48" i="67"/>
  <c r="AE48" i="67"/>
  <c r="AD48" i="67"/>
  <c r="AC48" i="67"/>
  <c r="AB48" i="67"/>
  <c r="AA48" i="67"/>
  <c r="Z48" i="67"/>
  <c r="Y48" i="67"/>
  <c r="X48" i="67"/>
  <c r="K89" i="86"/>
  <c r="K85" i="86"/>
  <c r="K84" i="86"/>
  <c r="K82" i="86"/>
  <c r="K80" i="86"/>
  <c r="K78" i="86"/>
  <c r="K77" i="86"/>
  <c r="K75" i="86"/>
  <c r="K73" i="86"/>
  <c r="K71" i="86"/>
  <c r="K70" i="86"/>
  <c r="K68" i="86"/>
  <c r="K66" i="86"/>
  <c r="K64" i="86"/>
  <c r="K63" i="86"/>
  <c r="K61" i="86"/>
  <c r="K59" i="86"/>
  <c r="K57" i="86"/>
  <c r="K56" i="86"/>
  <c r="K54" i="86"/>
  <c r="K52" i="86"/>
  <c r="K50" i="86"/>
  <c r="K49" i="86"/>
  <c r="K47" i="86"/>
  <c r="K45" i="86"/>
  <c r="K43" i="86"/>
  <c r="K42" i="86"/>
  <c r="K40" i="86"/>
  <c r="K38" i="86"/>
  <c r="K36" i="86"/>
  <c r="K35" i="86"/>
  <c r="K33" i="86"/>
  <c r="K31" i="86"/>
  <c r="K29" i="86"/>
  <c r="K28" i="86"/>
  <c r="K26" i="86"/>
  <c r="K24" i="86"/>
  <c r="K22" i="86"/>
  <c r="K21" i="86"/>
  <c r="K19" i="86"/>
  <c r="K17" i="86"/>
  <c r="K15" i="86"/>
  <c r="K14" i="86"/>
  <c r="K12" i="86"/>
  <c r="K10" i="86"/>
  <c r="K8" i="86"/>
  <c r="K7" i="86"/>
  <c r="H108" i="33"/>
  <c r="F102" i="86" l="1"/>
  <c r="AI59" i="67"/>
  <c r="AH59" i="67"/>
  <c r="AG59" i="67"/>
  <c r="AF59" i="67"/>
  <c r="AE59" i="67"/>
  <c r="AD59" i="67"/>
  <c r="AC59" i="67"/>
  <c r="AB59" i="67"/>
  <c r="AA59" i="67"/>
  <c r="Z59" i="67"/>
  <c r="Y59" i="67"/>
  <c r="X59" i="67"/>
  <c r="AI55" i="67"/>
  <c r="AH55" i="67"/>
  <c r="AG55" i="67"/>
  <c r="AF55" i="67"/>
  <c r="AE55" i="67"/>
  <c r="AD55" i="67"/>
  <c r="AC55" i="67"/>
  <c r="AB55" i="67"/>
  <c r="AA55" i="67"/>
  <c r="Z55" i="67"/>
  <c r="Y55" i="67"/>
  <c r="X55" i="67"/>
  <c r="AI52" i="67"/>
  <c r="AH52" i="67"/>
  <c r="AG52" i="67"/>
  <c r="AF52" i="67"/>
  <c r="AF58" i="67" s="1"/>
  <c r="AF60" i="67" s="1"/>
  <c r="AE52" i="67"/>
  <c r="AD52" i="67"/>
  <c r="AD58" i="67" s="1"/>
  <c r="AD60" i="67" s="1"/>
  <c r="AC52" i="67"/>
  <c r="AB52" i="67"/>
  <c r="AA52" i="67"/>
  <c r="Z52" i="67"/>
  <c r="Y52" i="67"/>
  <c r="X52" i="67"/>
  <c r="X58" i="67" s="1"/>
  <c r="K88" i="86"/>
  <c r="K81" i="86"/>
  <c r="K74" i="86"/>
  <c r="K67" i="86"/>
  <c r="K60" i="86"/>
  <c r="K53" i="86"/>
  <c r="K46" i="86"/>
  <c r="K39" i="86"/>
  <c r="K32" i="86"/>
  <c r="K25" i="86"/>
  <c r="K18" i="86"/>
  <c r="K11" i="86"/>
  <c r="K65" i="86"/>
  <c r="K58" i="86"/>
  <c r="K51" i="86"/>
  <c r="K44" i="86"/>
  <c r="K37" i="86"/>
  <c r="Z58" i="67" l="1"/>
  <c r="Z60" i="67" s="1"/>
  <c r="AH58" i="67"/>
  <c r="AH60" i="67" s="1"/>
  <c r="F100" i="86"/>
  <c r="AB58" i="67"/>
  <c r="AB60" i="67" s="1"/>
  <c r="X60" i="67"/>
  <c r="X56" i="67"/>
  <c r="H105" i="33" s="1"/>
  <c r="Y58" i="67"/>
  <c r="Y60" i="67" s="1"/>
  <c r="AC58" i="67"/>
  <c r="AC60" i="67" s="1"/>
  <c r="AG58" i="67"/>
  <c r="AG60" i="67" s="1"/>
  <c r="AA58" i="67"/>
  <c r="AA60" i="67" s="1"/>
  <c r="AE58" i="67"/>
  <c r="AE60" i="67" s="1"/>
  <c r="AI58" i="67"/>
  <c r="AI60" i="67" s="1"/>
  <c r="X53" i="67"/>
  <c r="M106" i="33" l="1"/>
  <c r="F103" i="86"/>
  <c r="F99" i="86"/>
  <c r="J98" i="86"/>
  <c r="J97" i="86"/>
  <c r="J96" i="86"/>
  <c r="J95" i="86"/>
  <c r="J93" i="86"/>
  <c r="K98" i="33"/>
  <c r="K97" i="33"/>
  <c r="K96" i="33"/>
  <c r="K95" i="33"/>
  <c r="K93" i="33"/>
  <c r="P38" i="66"/>
  <c r="H93" i="33" s="1"/>
  <c r="AA43" i="66"/>
  <c r="Z43" i="66"/>
  <c r="Y43" i="66"/>
  <c r="X43" i="66"/>
  <c r="W43" i="66"/>
  <c r="V43" i="66"/>
  <c r="U43" i="66"/>
  <c r="T43" i="66"/>
  <c r="S43" i="66"/>
  <c r="R43" i="66"/>
  <c r="Q43" i="66"/>
  <c r="P43" i="66"/>
  <c r="H89" i="86"/>
  <c r="H88" i="86"/>
  <c r="H87" i="86"/>
  <c r="J86" i="86"/>
  <c r="H85" i="86"/>
  <c r="H84" i="86"/>
  <c r="H82" i="86"/>
  <c r="H81" i="86"/>
  <c r="H80" i="86"/>
  <c r="J79" i="86"/>
  <c r="H78" i="86"/>
  <c r="H77" i="86"/>
  <c r="H75" i="86"/>
  <c r="H74" i="86"/>
  <c r="H73" i="86"/>
  <c r="J72" i="86"/>
  <c r="H71" i="86"/>
  <c r="H70" i="86"/>
  <c r="H68" i="86"/>
  <c r="H67" i="86"/>
  <c r="H66" i="86"/>
  <c r="J65" i="86"/>
  <c r="H64" i="86"/>
  <c r="H63" i="86"/>
  <c r="H61" i="86"/>
  <c r="H60" i="86"/>
  <c r="H59" i="86"/>
  <c r="J58" i="86"/>
  <c r="H57" i="86"/>
  <c r="H56" i="86"/>
  <c r="H54" i="86"/>
  <c r="H53" i="86"/>
  <c r="H52" i="86"/>
  <c r="J51" i="86"/>
  <c r="H50" i="86"/>
  <c r="H49" i="86"/>
  <c r="H47" i="86"/>
  <c r="H46" i="86"/>
  <c r="H45" i="86"/>
  <c r="J44" i="86"/>
  <c r="H43" i="86"/>
  <c r="H42" i="86"/>
  <c r="H40" i="86"/>
  <c r="H39" i="86"/>
  <c r="H38" i="86"/>
  <c r="J37" i="86"/>
  <c r="H36" i="86"/>
  <c r="H35" i="86"/>
  <c r="H33" i="86"/>
  <c r="H32" i="86"/>
  <c r="H31" i="86"/>
  <c r="J30" i="86"/>
  <c r="H29" i="86"/>
  <c r="H28" i="86"/>
  <c r="H26" i="86"/>
  <c r="H25" i="86"/>
  <c r="H24" i="86"/>
  <c r="J23" i="86"/>
  <c r="H22" i="86"/>
  <c r="H21" i="86"/>
  <c r="H19" i="86"/>
  <c r="H18" i="86"/>
  <c r="H17" i="86"/>
  <c r="J16" i="86"/>
  <c r="H15" i="86"/>
  <c r="H14" i="86"/>
  <c r="J9" i="86"/>
  <c r="H12" i="86"/>
  <c r="H11" i="86"/>
  <c r="H10" i="86"/>
  <c r="H8" i="86"/>
  <c r="H7" i="86"/>
  <c r="P44" i="66" l="1"/>
  <c r="H96" i="33" s="1"/>
  <c r="K93" i="86"/>
  <c r="K98" i="86"/>
  <c r="K96" i="86"/>
  <c r="K95" i="86"/>
  <c r="K97" i="86"/>
  <c r="H92" i="86"/>
  <c r="F101" i="86"/>
  <c r="H94" i="86" l="1"/>
  <c r="H93" i="86"/>
  <c r="M100" i="33"/>
  <c r="C17" i="5" l="1"/>
  <c r="I287" i="6"/>
  <c r="G287" i="6"/>
  <c r="M287" i="6" s="1"/>
  <c r="I286" i="6"/>
  <c r="I283" i="6"/>
  <c r="I252" i="6"/>
  <c r="I250" i="6"/>
  <c r="I228" i="6"/>
  <c r="I208" i="6"/>
  <c r="I172" i="6"/>
  <c r="I160" i="6"/>
  <c r="I157" i="6"/>
  <c r="I136" i="6"/>
  <c r="I117" i="6"/>
  <c r="I113" i="6"/>
  <c r="I101" i="6"/>
  <c r="I98" i="6"/>
  <c r="I284" i="6" s="1"/>
  <c r="I97" i="6"/>
  <c r="I68" i="6"/>
  <c r="J68" i="6" s="1"/>
  <c r="I54" i="6"/>
  <c r="I51" i="6"/>
  <c r="I50" i="6"/>
  <c r="M38" i="6"/>
  <c r="M85" i="6" s="1"/>
  <c r="M145" i="6" s="1"/>
  <c r="M195" i="6" s="1"/>
  <c r="M239" i="6" s="1"/>
  <c r="M271" i="6" s="1"/>
  <c r="M305" i="6" s="1"/>
  <c r="M36" i="6"/>
  <c r="M83" i="6" s="1"/>
  <c r="M143" i="6" s="1"/>
  <c r="M193" i="6" s="1"/>
  <c r="M237" i="6" s="1"/>
  <c r="M269" i="6" s="1"/>
  <c r="M303" i="6" s="1"/>
  <c r="I17" i="6"/>
  <c r="I14" i="6"/>
  <c r="J284" i="6" l="1"/>
  <c r="I316" i="6"/>
  <c r="J316" i="6" s="1"/>
  <c r="I319" i="6"/>
  <c r="I114" i="6"/>
  <c r="I175" i="6"/>
  <c r="J287" i="6"/>
  <c r="J319" i="6" l="1"/>
  <c r="J323" i="6" s="1"/>
  <c r="M35" i="7" s="1"/>
  <c r="L18" i="32"/>
  <c r="L17" i="32"/>
  <c r="L16" i="32"/>
  <c r="L15" i="32"/>
  <c r="L14" i="32"/>
  <c r="L13" i="32"/>
  <c r="M36" i="7" l="1"/>
  <c r="K17" i="32" l="1"/>
  <c r="J17" i="32"/>
  <c r="H17" i="32"/>
  <c r="G17" i="32"/>
  <c r="E17" i="32"/>
  <c r="D17" i="32"/>
  <c r="D11" i="86" l="1"/>
  <c r="F11" i="86"/>
  <c r="G11" i="86"/>
  <c r="O11" i="86"/>
  <c r="P11" i="86"/>
  <c r="Y11" i="86" s="1"/>
  <c r="Q11" i="86"/>
  <c r="R11" i="86"/>
  <c r="S11" i="86"/>
  <c r="AB11" i="86" s="1"/>
  <c r="U11" i="86"/>
  <c r="AF11" i="86" s="1"/>
  <c r="AC11" i="86"/>
  <c r="AY11" i="86"/>
  <c r="F18" i="86"/>
  <c r="G18" i="86"/>
  <c r="O18" i="86"/>
  <c r="P18" i="86"/>
  <c r="Y18" i="86" s="1"/>
  <c r="Q18" i="86"/>
  <c r="R18" i="86"/>
  <c r="S18" i="86"/>
  <c r="AB18" i="86" s="1"/>
  <c r="U18" i="86"/>
  <c r="AF18" i="86" s="1"/>
  <c r="AC18" i="86"/>
  <c r="AV18" i="86" s="1"/>
  <c r="AY18" i="86"/>
  <c r="AX18" i="86"/>
  <c r="AW18" i="86"/>
  <c r="BT18" i="86" s="1"/>
  <c r="F25" i="86"/>
  <c r="G25" i="86"/>
  <c r="O25" i="86"/>
  <c r="P25" i="86"/>
  <c r="Y25" i="86" s="1"/>
  <c r="Q25" i="86"/>
  <c r="R25" i="86"/>
  <c r="S25" i="86"/>
  <c r="AB25" i="86" s="1"/>
  <c r="U25" i="86"/>
  <c r="AF25" i="86" s="1"/>
  <c r="AC25" i="86"/>
  <c r="AV25" i="86" s="1"/>
  <c r="AH25" i="86"/>
  <c r="AI25" i="86"/>
  <c r="AJ25" i="86"/>
  <c r="AK25" i="86"/>
  <c r="AL25" i="86"/>
  <c r="AM25" i="86"/>
  <c r="AN25" i="86"/>
  <c r="AO25" i="86"/>
  <c r="AP25" i="86"/>
  <c r="AY25" i="86"/>
  <c r="AX25" i="86"/>
  <c r="AW25" i="86"/>
  <c r="BT25" i="86" s="1"/>
  <c r="AX11" i="86" l="1"/>
  <c r="AV11" i="86"/>
  <c r="BD11" i="86"/>
  <c r="AW11" i="86"/>
  <c r="AR25" i="86"/>
  <c r="BA25" i="86"/>
  <c r="BD18" i="86"/>
  <c r="AT25" i="86"/>
  <c r="BD25" i="86"/>
  <c r="K16" i="32"/>
  <c r="K15" i="32"/>
  <c r="K14" i="32"/>
  <c r="K13" i="32"/>
  <c r="J18" i="32"/>
  <c r="J16" i="32"/>
  <c r="J14" i="32"/>
  <c r="J13" i="32"/>
  <c r="H18" i="32"/>
  <c r="H16" i="32"/>
  <c r="H14" i="32"/>
  <c r="H13" i="32"/>
  <c r="G18" i="32"/>
  <c r="G16" i="32"/>
  <c r="G15" i="32"/>
  <c r="G14" i="32"/>
  <c r="G13" i="32"/>
  <c r="F15" i="32"/>
  <c r="E18" i="32"/>
  <c r="E16" i="32"/>
  <c r="E15" i="32"/>
  <c r="E14" i="32"/>
  <c r="E13" i="32"/>
  <c r="D18" i="32"/>
  <c r="D16" i="32"/>
  <c r="D15" i="32"/>
  <c r="D14" i="32"/>
  <c r="D13" i="32"/>
  <c r="N89" i="86"/>
  <c r="N82" i="86"/>
  <c r="N75" i="86"/>
  <c r="N68" i="86"/>
  <c r="N61" i="86"/>
  <c r="N54" i="86"/>
  <c r="N47" i="86"/>
  <c r="N40" i="86"/>
  <c r="N33" i="86"/>
  <c r="N26" i="86"/>
  <c r="N19" i="86"/>
  <c r="N12" i="86"/>
  <c r="BT11" i="86" l="1"/>
  <c r="K18" i="32"/>
  <c r="AA25" i="86"/>
  <c r="AS25" i="86" s="1"/>
  <c r="BS25" i="86" s="1"/>
  <c r="AA18" i="86"/>
  <c r="AA11" i="86"/>
  <c r="I18" i="32" l="1"/>
  <c r="I17" i="32"/>
  <c r="AD9" i="86"/>
  <c r="I15" i="32" l="1"/>
  <c r="J15" i="32"/>
  <c r="I16" i="32"/>
  <c r="F18" i="32"/>
  <c r="F16" i="32"/>
  <c r="F17" i="32"/>
  <c r="H15" i="32"/>
  <c r="AD18" i="86"/>
  <c r="Z18" i="86"/>
  <c r="AU18" i="86" s="1"/>
  <c r="X18" i="86"/>
  <c r="I13" i="32"/>
  <c r="X11" i="86"/>
  <c r="AD11" i="86"/>
  <c r="Z11" i="86"/>
  <c r="AU11" i="86" s="1"/>
  <c r="I14" i="32"/>
  <c r="AD25" i="86"/>
  <c r="X25" i="86"/>
  <c r="AQ25" i="86" s="1"/>
  <c r="Z25" i="86"/>
  <c r="AU25" i="86" s="1"/>
  <c r="BR25" i="86" l="1"/>
  <c r="BC25" i="86"/>
  <c r="F14" i="32"/>
  <c r="F13" i="32"/>
  <c r="AR27" i="30"/>
  <c r="AQ27" i="30"/>
  <c r="AP27" i="30"/>
  <c r="AO27" i="30"/>
  <c r="AN27" i="30"/>
  <c r="AM27" i="30"/>
  <c r="AL27" i="30"/>
  <c r="AK27" i="30"/>
  <c r="AJ27" i="30"/>
  <c r="AI27" i="30"/>
  <c r="AH27" i="30"/>
  <c r="AF36" i="30"/>
  <c r="AE36" i="30"/>
  <c r="AD36" i="30"/>
  <c r="AC36" i="30"/>
  <c r="AB36" i="30"/>
  <c r="AA36" i="30"/>
  <c r="Z36" i="30"/>
  <c r="Y36" i="30"/>
  <c r="X36" i="30"/>
  <c r="W36" i="30"/>
  <c r="V36" i="30"/>
  <c r="AF35" i="30"/>
  <c r="AE35" i="30"/>
  <c r="AD35" i="30"/>
  <c r="AC35" i="30"/>
  <c r="AB35" i="30"/>
  <c r="AA35" i="30"/>
  <c r="Z35" i="30"/>
  <c r="Y35" i="30"/>
  <c r="X35" i="30"/>
  <c r="W35" i="30"/>
  <c r="V35" i="30"/>
  <c r="AF34" i="30"/>
  <c r="AE34" i="30"/>
  <c r="AD34" i="30"/>
  <c r="AC34" i="30"/>
  <c r="AB34" i="30"/>
  <c r="AA34" i="30"/>
  <c r="Z34" i="30"/>
  <c r="Y34" i="30"/>
  <c r="X34" i="30"/>
  <c r="W34" i="30"/>
  <c r="V34" i="30"/>
  <c r="U36" i="30"/>
  <c r="U35" i="30"/>
  <c r="BP25" i="86" l="1"/>
  <c r="BE25" i="86"/>
  <c r="C32" i="31"/>
  <c r="AD77" i="86"/>
  <c r="AD56" i="86"/>
  <c r="AD42" i="86"/>
  <c r="AD35" i="86"/>
  <c r="AW89" i="86"/>
  <c r="AY89" i="86"/>
  <c r="AD89" i="86"/>
  <c r="AC89" i="86"/>
  <c r="AV89" i="86" s="1"/>
  <c r="U89" i="86"/>
  <c r="AF89" i="86" s="1"/>
  <c r="S89" i="86"/>
  <c r="AB89" i="86" s="1"/>
  <c r="R89" i="86"/>
  <c r="Q89" i="86"/>
  <c r="Z89" i="86" s="1"/>
  <c r="AU89" i="86" s="1"/>
  <c r="P89" i="86"/>
  <c r="Y89" i="86" s="1"/>
  <c r="O89" i="86"/>
  <c r="X89" i="86" s="1"/>
  <c r="F89" i="86"/>
  <c r="AW88" i="86"/>
  <c r="AY88" i="86"/>
  <c r="AD88" i="86"/>
  <c r="AC88" i="86"/>
  <c r="AV88" i="86" s="1"/>
  <c r="U88" i="86"/>
  <c r="AF88" i="86" s="1"/>
  <c r="S88" i="86"/>
  <c r="AB88" i="86" s="1"/>
  <c r="R88" i="86"/>
  <c r="AA88" i="86" s="1"/>
  <c r="Q88" i="86"/>
  <c r="Z88" i="86" s="1"/>
  <c r="AU88" i="86" s="1"/>
  <c r="P88" i="86"/>
  <c r="Y88" i="86" s="1"/>
  <c r="O88" i="86"/>
  <c r="X88" i="86" s="1"/>
  <c r="G88" i="86"/>
  <c r="F88" i="86"/>
  <c r="AW87" i="86"/>
  <c r="AY87" i="86"/>
  <c r="AD87" i="86"/>
  <c r="AC87" i="86"/>
  <c r="AV87" i="86" s="1"/>
  <c r="U87" i="86"/>
  <c r="AF87" i="86" s="1"/>
  <c r="S87" i="86"/>
  <c r="AB87" i="86" s="1"/>
  <c r="R87" i="86"/>
  <c r="AA87" i="86" s="1"/>
  <c r="Q87" i="86"/>
  <c r="Z87" i="86" s="1"/>
  <c r="AU87" i="86" s="1"/>
  <c r="P87" i="86"/>
  <c r="Y87" i="86" s="1"/>
  <c r="O87" i="86"/>
  <c r="X87" i="86" s="1"/>
  <c r="G87" i="86"/>
  <c r="F87" i="86"/>
  <c r="AW86" i="86"/>
  <c r="AY86" i="86"/>
  <c r="AD86" i="86"/>
  <c r="AC86" i="86"/>
  <c r="AV86" i="86" s="1"/>
  <c r="U86" i="86"/>
  <c r="AF86" i="86" s="1"/>
  <c r="R86" i="86"/>
  <c r="AA86" i="86" s="1"/>
  <c r="Q86" i="86"/>
  <c r="Z86" i="86" s="1"/>
  <c r="AU86" i="86" s="1"/>
  <c r="P86" i="86"/>
  <c r="Y86" i="86" s="1"/>
  <c r="O86" i="86"/>
  <c r="X86" i="86" s="1"/>
  <c r="G86" i="86"/>
  <c r="F86" i="86"/>
  <c r="AW85" i="86"/>
  <c r="AY85" i="86"/>
  <c r="AD85" i="86"/>
  <c r="AC85" i="86"/>
  <c r="AV85" i="86" s="1"/>
  <c r="U85" i="86"/>
  <c r="AF85" i="86" s="1"/>
  <c r="S85" i="86"/>
  <c r="AB85" i="86" s="1"/>
  <c r="R85" i="86"/>
  <c r="AA85" i="86" s="1"/>
  <c r="Q85" i="86"/>
  <c r="Z85" i="86" s="1"/>
  <c r="AU85" i="86" s="1"/>
  <c r="P85" i="86"/>
  <c r="Y85" i="86" s="1"/>
  <c r="O85" i="86"/>
  <c r="X85" i="86" s="1"/>
  <c r="G85" i="86"/>
  <c r="F85" i="86"/>
  <c r="AW84" i="86"/>
  <c r="AY84" i="86"/>
  <c r="AD84" i="86"/>
  <c r="AC84" i="86"/>
  <c r="AV84" i="86" s="1"/>
  <c r="U84" i="86"/>
  <c r="AF84" i="86" s="1"/>
  <c r="S84" i="86"/>
  <c r="AB84" i="86" s="1"/>
  <c r="R84" i="86"/>
  <c r="AA84" i="86" s="1"/>
  <c r="Q84" i="86"/>
  <c r="Z84" i="86" s="1"/>
  <c r="AU84" i="86" s="1"/>
  <c r="P84" i="86"/>
  <c r="Y84" i="86" s="1"/>
  <c r="O84" i="86"/>
  <c r="X84" i="86" s="1"/>
  <c r="G84" i="86"/>
  <c r="F84" i="86"/>
  <c r="AW82" i="86"/>
  <c r="AY82" i="86"/>
  <c r="AD82" i="86"/>
  <c r="AC82" i="86"/>
  <c r="AV82" i="86" s="1"/>
  <c r="U82" i="86"/>
  <c r="AF82" i="86" s="1"/>
  <c r="S82" i="86"/>
  <c r="AB82" i="86" s="1"/>
  <c r="R82" i="86"/>
  <c r="AA82" i="86" s="1"/>
  <c r="Q82" i="86"/>
  <c r="Z82" i="86" s="1"/>
  <c r="AU82" i="86" s="1"/>
  <c r="P82" i="86"/>
  <c r="Y82" i="86" s="1"/>
  <c r="O82" i="86"/>
  <c r="X82" i="86" s="1"/>
  <c r="F82" i="86"/>
  <c r="AW81" i="86"/>
  <c r="AY81" i="86"/>
  <c r="AD81" i="86"/>
  <c r="AC81" i="86"/>
  <c r="AV81" i="86" s="1"/>
  <c r="U81" i="86"/>
  <c r="AF81" i="86" s="1"/>
  <c r="S81" i="86"/>
  <c r="AB81" i="86" s="1"/>
  <c r="R81" i="86"/>
  <c r="AA81" i="86" s="1"/>
  <c r="Q81" i="86"/>
  <c r="Z81" i="86" s="1"/>
  <c r="AU81" i="86" s="1"/>
  <c r="P81" i="86"/>
  <c r="Y81" i="86" s="1"/>
  <c r="O81" i="86"/>
  <c r="X81" i="86" s="1"/>
  <c r="G81" i="86"/>
  <c r="F81" i="86"/>
  <c r="AW80" i="86"/>
  <c r="AY80" i="86"/>
  <c r="AD80" i="86"/>
  <c r="AC80" i="86"/>
  <c r="AV80" i="86" s="1"/>
  <c r="U80" i="86"/>
  <c r="AF80" i="86" s="1"/>
  <c r="S80" i="86"/>
  <c r="AB80" i="86" s="1"/>
  <c r="R80" i="86"/>
  <c r="Q80" i="86"/>
  <c r="Z80" i="86" s="1"/>
  <c r="AU80" i="86" s="1"/>
  <c r="P80" i="86"/>
  <c r="Y80" i="86" s="1"/>
  <c r="O80" i="86"/>
  <c r="X80" i="86" s="1"/>
  <c r="G80" i="86"/>
  <c r="F80" i="86"/>
  <c r="AW79" i="86"/>
  <c r="AY79" i="86"/>
  <c r="AD79" i="86"/>
  <c r="AC79" i="86"/>
  <c r="AV79" i="86" s="1"/>
  <c r="U79" i="86"/>
  <c r="AF79" i="86" s="1"/>
  <c r="R79" i="86"/>
  <c r="AA79" i="86" s="1"/>
  <c r="Q79" i="86"/>
  <c r="Z79" i="86" s="1"/>
  <c r="AU79" i="86" s="1"/>
  <c r="P79" i="86"/>
  <c r="Y79" i="86" s="1"/>
  <c r="O79" i="86"/>
  <c r="X79" i="86" s="1"/>
  <c r="G79" i="86"/>
  <c r="F79" i="86"/>
  <c r="AW78" i="86"/>
  <c r="AY78" i="86"/>
  <c r="AD78" i="86"/>
  <c r="AC78" i="86"/>
  <c r="AV78" i="86" s="1"/>
  <c r="U78" i="86"/>
  <c r="AF78" i="86" s="1"/>
  <c r="S78" i="86"/>
  <c r="AB78" i="86" s="1"/>
  <c r="R78" i="86"/>
  <c r="AA78" i="86" s="1"/>
  <c r="Q78" i="86"/>
  <c r="Z78" i="86" s="1"/>
  <c r="AU78" i="86" s="1"/>
  <c r="P78" i="86"/>
  <c r="Y78" i="86" s="1"/>
  <c r="O78" i="86"/>
  <c r="X78" i="86" s="1"/>
  <c r="G78" i="86"/>
  <c r="F78" i="86"/>
  <c r="AW77" i="86"/>
  <c r="AY77" i="86"/>
  <c r="AC77" i="86"/>
  <c r="AV77" i="86" s="1"/>
  <c r="U77" i="86"/>
  <c r="AF77" i="86" s="1"/>
  <c r="S77" i="86"/>
  <c r="AB77" i="86" s="1"/>
  <c r="R77" i="86"/>
  <c r="AA77" i="86" s="1"/>
  <c r="Q77" i="86"/>
  <c r="Z77" i="86" s="1"/>
  <c r="AU77" i="86" s="1"/>
  <c r="P77" i="86"/>
  <c r="Y77" i="86" s="1"/>
  <c r="O77" i="86"/>
  <c r="G77" i="86"/>
  <c r="F77" i="86"/>
  <c r="AW75" i="86"/>
  <c r="AY75" i="86"/>
  <c r="AD75" i="86"/>
  <c r="AC75" i="86"/>
  <c r="AV75" i="86" s="1"/>
  <c r="U75" i="86"/>
  <c r="AF75" i="86" s="1"/>
  <c r="S75" i="86"/>
  <c r="AB75" i="86" s="1"/>
  <c r="R75" i="86"/>
  <c r="AA75" i="86" s="1"/>
  <c r="Q75" i="86"/>
  <c r="Z75" i="86" s="1"/>
  <c r="AU75" i="86" s="1"/>
  <c r="P75" i="86"/>
  <c r="Y75" i="86" s="1"/>
  <c r="O75" i="86"/>
  <c r="X75" i="86" s="1"/>
  <c r="F75" i="86"/>
  <c r="AW74" i="86"/>
  <c r="AY74" i="86"/>
  <c r="AD74" i="86"/>
  <c r="AC74" i="86"/>
  <c r="AV74" i="86" s="1"/>
  <c r="U74" i="86"/>
  <c r="AF74" i="86" s="1"/>
  <c r="S74" i="86"/>
  <c r="AB74" i="86" s="1"/>
  <c r="R74" i="86"/>
  <c r="AA74" i="86" s="1"/>
  <c r="Q74" i="86"/>
  <c r="Z74" i="86" s="1"/>
  <c r="AU74" i="86" s="1"/>
  <c r="P74" i="86"/>
  <c r="Y74" i="86" s="1"/>
  <c r="O74" i="86"/>
  <c r="X74" i="86" s="1"/>
  <c r="G74" i="86"/>
  <c r="F74" i="86"/>
  <c r="AW73" i="86"/>
  <c r="AX73" i="86"/>
  <c r="AY73" i="86"/>
  <c r="AD73" i="86"/>
  <c r="AC73" i="86"/>
  <c r="AV73" i="86" s="1"/>
  <c r="U73" i="86"/>
  <c r="AF73" i="86" s="1"/>
  <c r="S73" i="86"/>
  <c r="AB73" i="86" s="1"/>
  <c r="R73" i="86"/>
  <c r="AA73" i="86" s="1"/>
  <c r="Q73" i="86"/>
  <c r="Z73" i="86" s="1"/>
  <c r="AU73" i="86" s="1"/>
  <c r="P73" i="86"/>
  <c r="Y73" i="86" s="1"/>
  <c r="O73" i="86"/>
  <c r="X73" i="86" s="1"/>
  <c r="G73" i="86"/>
  <c r="F73" i="86"/>
  <c r="AW72" i="86"/>
  <c r="AX72" i="86"/>
  <c r="AY72" i="86"/>
  <c r="AD72" i="86"/>
  <c r="AC72" i="86"/>
  <c r="AV72" i="86" s="1"/>
  <c r="U72" i="86"/>
  <c r="AF72" i="86" s="1"/>
  <c r="R72" i="86"/>
  <c r="AA72" i="86" s="1"/>
  <c r="Q72" i="86"/>
  <c r="Z72" i="86" s="1"/>
  <c r="AU72" i="86" s="1"/>
  <c r="P72" i="86"/>
  <c r="Y72" i="86" s="1"/>
  <c r="O72" i="86"/>
  <c r="X72" i="86" s="1"/>
  <c r="G72" i="86"/>
  <c r="F72" i="86"/>
  <c r="AW71" i="86"/>
  <c r="AX71" i="86"/>
  <c r="AY71" i="86"/>
  <c r="AD71" i="86"/>
  <c r="AC71" i="86"/>
  <c r="AV71" i="86" s="1"/>
  <c r="U71" i="86"/>
  <c r="AF71" i="86" s="1"/>
  <c r="S71" i="86"/>
  <c r="AB71" i="86" s="1"/>
  <c r="R71" i="86"/>
  <c r="AA71" i="86" s="1"/>
  <c r="Q71" i="86"/>
  <c r="Z71" i="86" s="1"/>
  <c r="AU71" i="86" s="1"/>
  <c r="P71" i="86"/>
  <c r="Y71" i="86" s="1"/>
  <c r="O71" i="86"/>
  <c r="X71" i="86" s="1"/>
  <c r="G71" i="86"/>
  <c r="F71" i="86"/>
  <c r="AW70" i="86"/>
  <c r="AY70" i="86"/>
  <c r="AD70" i="86"/>
  <c r="AC70" i="86"/>
  <c r="AV70" i="86" s="1"/>
  <c r="U70" i="86"/>
  <c r="AF70" i="86" s="1"/>
  <c r="S70" i="86"/>
  <c r="AB70" i="86" s="1"/>
  <c r="R70" i="86"/>
  <c r="AA70" i="86" s="1"/>
  <c r="Q70" i="86"/>
  <c r="P70" i="86"/>
  <c r="Y70" i="86" s="1"/>
  <c r="O70" i="86"/>
  <c r="X70" i="86" s="1"/>
  <c r="G70" i="86"/>
  <c r="F70" i="86"/>
  <c r="AW68" i="86"/>
  <c r="AY68" i="86"/>
  <c r="AD68" i="86"/>
  <c r="AC68" i="86"/>
  <c r="AV68" i="86" s="1"/>
  <c r="U68" i="86"/>
  <c r="AF68" i="86" s="1"/>
  <c r="S68" i="86"/>
  <c r="AB68" i="86" s="1"/>
  <c r="R68" i="86"/>
  <c r="AA68" i="86" s="1"/>
  <c r="Q68" i="86"/>
  <c r="Z68" i="86" s="1"/>
  <c r="AU68" i="86" s="1"/>
  <c r="P68" i="86"/>
  <c r="Y68" i="86" s="1"/>
  <c r="O68" i="86"/>
  <c r="X68" i="86" s="1"/>
  <c r="F68" i="86"/>
  <c r="AW67" i="86"/>
  <c r="AY67" i="86"/>
  <c r="AD67" i="86"/>
  <c r="AC67" i="86"/>
  <c r="AV67" i="86" s="1"/>
  <c r="U67" i="86"/>
  <c r="AF67" i="86" s="1"/>
  <c r="S67" i="86"/>
  <c r="AB67" i="86" s="1"/>
  <c r="R67" i="86"/>
  <c r="AA67" i="86" s="1"/>
  <c r="Q67" i="86"/>
  <c r="Z67" i="86" s="1"/>
  <c r="AU67" i="86" s="1"/>
  <c r="P67" i="86"/>
  <c r="Y67" i="86" s="1"/>
  <c r="O67" i="86"/>
  <c r="X67" i="86" s="1"/>
  <c r="G67" i="86"/>
  <c r="F67" i="86"/>
  <c r="AW66" i="86"/>
  <c r="AY66" i="86"/>
  <c r="AD66" i="86"/>
  <c r="AC66" i="86"/>
  <c r="AV66" i="86" s="1"/>
  <c r="U66" i="86"/>
  <c r="AF66" i="86" s="1"/>
  <c r="S66" i="86"/>
  <c r="AB66" i="86" s="1"/>
  <c r="R66" i="86"/>
  <c r="AA66" i="86" s="1"/>
  <c r="Q66" i="86"/>
  <c r="Z66" i="86" s="1"/>
  <c r="AU66" i="86" s="1"/>
  <c r="P66" i="86"/>
  <c r="Y66" i="86" s="1"/>
  <c r="O66" i="86"/>
  <c r="X66" i="86" s="1"/>
  <c r="G66" i="86"/>
  <c r="F66" i="86"/>
  <c r="AW65" i="86"/>
  <c r="AY65" i="86"/>
  <c r="AD65" i="86"/>
  <c r="AC65" i="86"/>
  <c r="AV65" i="86" s="1"/>
  <c r="U65" i="86"/>
  <c r="AF65" i="86" s="1"/>
  <c r="R65" i="86"/>
  <c r="AA65" i="86" s="1"/>
  <c r="Q65" i="86"/>
  <c r="Z65" i="86" s="1"/>
  <c r="AU65" i="86" s="1"/>
  <c r="P65" i="86"/>
  <c r="Y65" i="86" s="1"/>
  <c r="O65" i="86"/>
  <c r="X65" i="86" s="1"/>
  <c r="G65" i="86"/>
  <c r="F65" i="86"/>
  <c r="AW64" i="86"/>
  <c r="AY64" i="86"/>
  <c r="AD64" i="86"/>
  <c r="AC64" i="86"/>
  <c r="AV64" i="86" s="1"/>
  <c r="U64" i="86"/>
  <c r="AF64" i="86" s="1"/>
  <c r="S64" i="86"/>
  <c r="AB64" i="86" s="1"/>
  <c r="R64" i="86"/>
  <c r="AA64" i="86" s="1"/>
  <c r="Q64" i="86"/>
  <c r="Z64" i="86" s="1"/>
  <c r="AU64" i="86" s="1"/>
  <c r="P64" i="86"/>
  <c r="Y64" i="86" s="1"/>
  <c r="O64" i="86"/>
  <c r="X64" i="86" s="1"/>
  <c r="G64" i="86"/>
  <c r="F64" i="86"/>
  <c r="AW63" i="86"/>
  <c r="AY63" i="86"/>
  <c r="AD63" i="86"/>
  <c r="AC63" i="86"/>
  <c r="AV63" i="86" s="1"/>
  <c r="U63" i="86"/>
  <c r="AF63" i="86" s="1"/>
  <c r="S63" i="86"/>
  <c r="AB63" i="86" s="1"/>
  <c r="R63" i="86"/>
  <c r="AA63" i="86" s="1"/>
  <c r="Q63" i="86"/>
  <c r="Z63" i="86" s="1"/>
  <c r="AU63" i="86" s="1"/>
  <c r="P63" i="86"/>
  <c r="Y63" i="86" s="1"/>
  <c r="O63" i="86"/>
  <c r="X63" i="86" s="1"/>
  <c r="G63" i="86"/>
  <c r="F63" i="86"/>
  <c r="AW61" i="86"/>
  <c r="AY61" i="86"/>
  <c r="AD61" i="86"/>
  <c r="AC61" i="86"/>
  <c r="AV61" i="86" s="1"/>
  <c r="U61" i="86"/>
  <c r="AF61" i="86" s="1"/>
  <c r="S61" i="86"/>
  <c r="AB61" i="86" s="1"/>
  <c r="R61" i="86"/>
  <c r="AA61" i="86" s="1"/>
  <c r="Q61" i="86"/>
  <c r="Z61" i="86" s="1"/>
  <c r="AU61" i="86" s="1"/>
  <c r="P61" i="86"/>
  <c r="Y61" i="86" s="1"/>
  <c r="O61" i="86"/>
  <c r="X61" i="86" s="1"/>
  <c r="F61" i="86"/>
  <c r="AW60" i="86"/>
  <c r="AY60" i="86"/>
  <c r="AD60" i="86"/>
  <c r="AC60" i="86"/>
  <c r="AV60" i="86" s="1"/>
  <c r="U60" i="86"/>
  <c r="AF60" i="86" s="1"/>
  <c r="S60" i="86"/>
  <c r="AB60" i="86" s="1"/>
  <c r="R60" i="86"/>
  <c r="AA60" i="86" s="1"/>
  <c r="Q60" i="86"/>
  <c r="Z60" i="86" s="1"/>
  <c r="AU60" i="86" s="1"/>
  <c r="P60" i="86"/>
  <c r="Y60" i="86" s="1"/>
  <c r="O60" i="86"/>
  <c r="X60" i="86" s="1"/>
  <c r="G60" i="86"/>
  <c r="F60" i="86"/>
  <c r="AW59" i="86"/>
  <c r="AX59" i="86"/>
  <c r="AY59" i="86"/>
  <c r="AD59" i="86"/>
  <c r="AC59" i="86"/>
  <c r="AV59" i="86" s="1"/>
  <c r="U59" i="86"/>
  <c r="AF59" i="86" s="1"/>
  <c r="S59" i="86"/>
  <c r="AB59" i="86" s="1"/>
  <c r="R59" i="86"/>
  <c r="Q59" i="86"/>
  <c r="Z59" i="86" s="1"/>
  <c r="AU59" i="86" s="1"/>
  <c r="P59" i="86"/>
  <c r="Y59" i="86" s="1"/>
  <c r="O59" i="86"/>
  <c r="X59" i="86" s="1"/>
  <c r="G59" i="86"/>
  <c r="F59" i="86"/>
  <c r="AW58" i="86"/>
  <c r="AX58" i="86"/>
  <c r="AY58" i="86"/>
  <c r="AD58" i="86"/>
  <c r="AC58" i="86"/>
  <c r="AV58" i="86" s="1"/>
  <c r="U58" i="86"/>
  <c r="AF58" i="86" s="1"/>
  <c r="R58" i="86"/>
  <c r="AA58" i="86" s="1"/>
  <c r="Q58" i="86"/>
  <c r="Z58" i="86" s="1"/>
  <c r="AU58" i="86" s="1"/>
  <c r="P58" i="86"/>
  <c r="Y58" i="86" s="1"/>
  <c r="O58" i="86"/>
  <c r="X58" i="86" s="1"/>
  <c r="G58" i="86"/>
  <c r="F58" i="86"/>
  <c r="AW57" i="86"/>
  <c r="AX57" i="86"/>
  <c r="AY57" i="86"/>
  <c r="AD57" i="86"/>
  <c r="AC57" i="86"/>
  <c r="AV57" i="86" s="1"/>
  <c r="U57" i="86"/>
  <c r="AF57" i="86" s="1"/>
  <c r="S57" i="86"/>
  <c r="AB57" i="86" s="1"/>
  <c r="R57" i="86"/>
  <c r="AA57" i="86" s="1"/>
  <c r="Q57" i="86"/>
  <c r="Z57" i="86" s="1"/>
  <c r="AU57" i="86" s="1"/>
  <c r="P57" i="86"/>
  <c r="Y57" i="86" s="1"/>
  <c r="O57" i="86"/>
  <c r="X57" i="86" s="1"/>
  <c r="G57" i="86"/>
  <c r="F57" i="86"/>
  <c r="AW56" i="86"/>
  <c r="AY56" i="86"/>
  <c r="AC56" i="86"/>
  <c r="AV56" i="86" s="1"/>
  <c r="U56" i="86"/>
  <c r="AF56" i="86" s="1"/>
  <c r="S56" i="86"/>
  <c r="AB56" i="86" s="1"/>
  <c r="R56" i="86"/>
  <c r="AA56" i="86" s="1"/>
  <c r="Q56" i="86"/>
  <c r="Z56" i="86" s="1"/>
  <c r="AU56" i="86" s="1"/>
  <c r="P56" i="86"/>
  <c r="Y56" i="86" s="1"/>
  <c r="O56" i="86"/>
  <c r="G56" i="86"/>
  <c r="F56" i="86"/>
  <c r="AW54" i="86"/>
  <c r="AY54" i="86"/>
  <c r="AD54" i="86"/>
  <c r="AC54" i="86"/>
  <c r="AV54" i="86" s="1"/>
  <c r="U54" i="86"/>
  <c r="AF54" i="86" s="1"/>
  <c r="S54" i="86"/>
  <c r="AB54" i="86" s="1"/>
  <c r="R54" i="86"/>
  <c r="AA54" i="86" s="1"/>
  <c r="Q54" i="86"/>
  <c r="Z54" i="86" s="1"/>
  <c r="AU54" i="86" s="1"/>
  <c r="P54" i="86"/>
  <c r="Y54" i="86" s="1"/>
  <c r="O54" i="86"/>
  <c r="X54" i="86" s="1"/>
  <c r="F54" i="86"/>
  <c r="AW53" i="86"/>
  <c r="AY53" i="86"/>
  <c r="AD53" i="86"/>
  <c r="AC53" i="86"/>
  <c r="AV53" i="86" s="1"/>
  <c r="U53" i="86"/>
  <c r="AF53" i="86" s="1"/>
  <c r="S53" i="86"/>
  <c r="AB53" i="86" s="1"/>
  <c r="R53" i="86"/>
  <c r="AA53" i="86" s="1"/>
  <c r="Q53" i="86"/>
  <c r="Z53" i="86" s="1"/>
  <c r="AU53" i="86" s="1"/>
  <c r="P53" i="86"/>
  <c r="Y53" i="86" s="1"/>
  <c r="O53" i="86"/>
  <c r="X53" i="86" s="1"/>
  <c r="G53" i="86"/>
  <c r="F53" i="86"/>
  <c r="AW52" i="86"/>
  <c r="AY52" i="86"/>
  <c r="AD52" i="86"/>
  <c r="AC52" i="86"/>
  <c r="AV52" i="86" s="1"/>
  <c r="U52" i="86"/>
  <c r="AF52" i="86" s="1"/>
  <c r="S52" i="86"/>
  <c r="AB52" i="86" s="1"/>
  <c r="R52" i="86"/>
  <c r="AA52" i="86" s="1"/>
  <c r="Q52" i="86"/>
  <c r="Z52" i="86" s="1"/>
  <c r="AU52" i="86" s="1"/>
  <c r="P52" i="86"/>
  <c r="Y52" i="86" s="1"/>
  <c r="O52" i="86"/>
  <c r="X52" i="86" s="1"/>
  <c r="G52" i="86"/>
  <c r="F52" i="86"/>
  <c r="AW51" i="86"/>
  <c r="AY51" i="86"/>
  <c r="AD51" i="86"/>
  <c r="AC51" i="86"/>
  <c r="AV51" i="86" s="1"/>
  <c r="U51" i="86"/>
  <c r="AF51" i="86" s="1"/>
  <c r="R51" i="86"/>
  <c r="Q51" i="86"/>
  <c r="Z51" i="86" s="1"/>
  <c r="AU51" i="86" s="1"/>
  <c r="P51" i="86"/>
  <c r="Y51" i="86" s="1"/>
  <c r="O51" i="86"/>
  <c r="X51" i="86" s="1"/>
  <c r="G51" i="86"/>
  <c r="F51" i="86"/>
  <c r="AW50" i="86"/>
  <c r="AY50" i="86"/>
  <c r="AD50" i="86"/>
  <c r="AC50" i="86"/>
  <c r="AV50" i="86" s="1"/>
  <c r="U50" i="86"/>
  <c r="AF50" i="86" s="1"/>
  <c r="S50" i="86"/>
  <c r="AB50" i="86" s="1"/>
  <c r="R50" i="86"/>
  <c r="AA50" i="86" s="1"/>
  <c r="Q50" i="86"/>
  <c r="Z50" i="86" s="1"/>
  <c r="AU50" i="86" s="1"/>
  <c r="P50" i="86"/>
  <c r="Y50" i="86" s="1"/>
  <c r="O50" i="86"/>
  <c r="X50" i="86" s="1"/>
  <c r="G50" i="86"/>
  <c r="F50" i="86"/>
  <c r="AW49" i="86"/>
  <c r="AY49" i="86"/>
  <c r="AD49" i="86"/>
  <c r="AC49" i="86"/>
  <c r="AV49" i="86" s="1"/>
  <c r="U49" i="86"/>
  <c r="AF49" i="86" s="1"/>
  <c r="S49" i="86"/>
  <c r="AB49" i="86" s="1"/>
  <c r="R49" i="86"/>
  <c r="AA49" i="86" s="1"/>
  <c r="Q49" i="86"/>
  <c r="Z49" i="86" s="1"/>
  <c r="AU49" i="86" s="1"/>
  <c r="P49" i="86"/>
  <c r="Y49" i="86" s="1"/>
  <c r="O49" i="86"/>
  <c r="G49" i="86"/>
  <c r="F49" i="86"/>
  <c r="AW47" i="86"/>
  <c r="AY47" i="86"/>
  <c r="AD47" i="86"/>
  <c r="AC47" i="86"/>
  <c r="AV47" i="86" s="1"/>
  <c r="U47" i="86"/>
  <c r="AF47" i="86" s="1"/>
  <c r="S47" i="86"/>
  <c r="AB47" i="86" s="1"/>
  <c r="R47" i="86"/>
  <c r="AA47" i="86" s="1"/>
  <c r="Q47" i="86"/>
  <c r="Z47" i="86" s="1"/>
  <c r="AU47" i="86" s="1"/>
  <c r="P47" i="86"/>
  <c r="Y47" i="86" s="1"/>
  <c r="O47" i="86"/>
  <c r="X47" i="86" s="1"/>
  <c r="F47" i="86"/>
  <c r="AW46" i="86"/>
  <c r="AY46" i="86"/>
  <c r="AD46" i="86"/>
  <c r="AC46" i="86"/>
  <c r="AV46" i="86" s="1"/>
  <c r="U46" i="86"/>
  <c r="AF46" i="86" s="1"/>
  <c r="S46" i="86"/>
  <c r="AB46" i="86" s="1"/>
  <c r="R46" i="86"/>
  <c r="AA46" i="86" s="1"/>
  <c r="Q46" i="86"/>
  <c r="Z46" i="86" s="1"/>
  <c r="AU46" i="86" s="1"/>
  <c r="P46" i="86"/>
  <c r="Y46" i="86" s="1"/>
  <c r="O46" i="86"/>
  <c r="X46" i="86" s="1"/>
  <c r="G46" i="86"/>
  <c r="F46" i="86"/>
  <c r="AW45" i="86"/>
  <c r="AY45" i="86"/>
  <c r="AD45" i="86"/>
  <c r="AC45" i="86"/>
  <c r="AV45" i="86" s="1"/>
  <c r="U45" i="86"/>
  <c r="AF45" i="86" s="1"/>
  <c r="S45" i="86"/>
  <c r="AB45" i="86" s="1"/>
  <c r="R45" i="86"/>
  <c r="Q45" i="86"/>
  <c r="Z45" i="86" s="1"/>
  <c r="AU45" i="86" s="1"/>
  <c r="P45" i="86"/>
  <c r="Y45" i="86" s="1"/>
  <c r="O45" i="86"/>
  <c r="X45" i="86" s="1"/>
  <c r="G45" i="86"/>
  <c r="F45" i="86"/>
  <c r="AW44" i="86"/>
  <c r="AY44" i="86"/>
  <c r="AD44" i="86"/>
  <c r="AC44" i="86"/>
  <c r="AV44" i="86" s="1"/>
  <c r="U44" i="86"/>
  <c r="AF44" i="86" s="1"/>
  <c r="R44" i="86"/>
  <c r="AA44" i="86" s="1"/>
  <c r="Q44" i="86"/>
  <c r="Z44" i="86" s="1"/>
  <c r="AU44" i="86" s="1"/>
  <c r="P44" i="86"/>
  <c r="Y44" i="86" s="1"/>
  <c r="O44" i="86"/>
  <c r="X44" i="86" s="1"/>
  <c r="G44" i="86"/>
  <c r="F44" i="86"/>
  <c r="AW43" i="86"/>
  <c r="AY43" i="86"/>
  <c r="AD43" i="86"/>
  <c r="AC43" i="86"/>
  <c r="AV43" i="86" s="1"/>
  <c r="U43" i="86"/>
  <c r="AF43" i="86" s="1"/>
  <c r="S43" i="86"/>
  <c r="AB43" i="86" s="1"/>
  <c r="R43" i="86"/>
  <c r="AA43" i="86" s="1"/>
  <c r="Q43" i="86"/>
  <c r="Z43" i="86" s="1"/>
  <c r="AU43" i="86" s="1"/>
  <c r="P43" i="86"/>
  <c r="Y43" i="86" s="1"/>
  <c r="O43" i="86"/>
  <c r="X43" i="86" s="1"/>
  <c r="G43" i="86"/>
  <c r="F43" i="86"/>
  <c r="AW42" i="86"/>
  <c r="AY42" i="86"/>
  <c r="AC42" i="86"/>
  <c r="AV42" i="86" s="1"/>
  <c r="U42" i="86"/>
  <c r="AF42" i="86" s="1"/>
  <c r="S42" i="86"/>
  <c r="AB42" i="86" s="1"/>
  <c r="R42" i="86"/>
  <c r="AA42" i="86" s="1"/>
  <c r="Q42" i="86"/>
  <c r="Z42" i="86" s="1"/>
  <c r="AU42" i="86" s="1"/>
  <c r="P42" i="86"/>
  <c r="Y42" i="86" s="1"/>
  <c r="O42" i="86"/>
  <c r="G42" i="86"/>
  <c r="F42" i="86"/>
  <c r="AW40" i="86"/>
  <c r="AY40" i="86"/>
  <c r="AD40" i="86"/>
  <c r="AC40" i="86"/>
  <c r="AV40" i="86" s="1"/>
  <c r="U40" i="86"/>
  <c r="AF40" i="86" s="1"/>
  <c r="S40" i="86"/>
  <c r="AB40" i="86" s="1"/>
  <c r="R40" i="86"/>
  <c r="AA40" i="86" s="1"/>
  <c r="Q40" i="86"/>
  <c r="Z40" i="86" s="1"/>
  <c r="AU40" i="86" s="1"/>
  <c r="P40" i="86"/>
  <c r="Y40" i="86" s="1"/>
  <c r="O40" i="86"/>
  <c r="X40" i="86" s="1"/>
  <c r="F40" i="86"/>
  <c r="AW39" i="86"/>
  <c r="AY39" i="86"/>
  <c r="AD39" i="86"/>
  <c r="AC39" i="86"/>
  <c r="AV39" i="86" s="1"/>
  <c r="U39" i="86"/>
  <c r="AF39" i="86" s="1"/>
  <c r="S39" i="86"/>
  <c r="AB39" i="86" s="1"/>
  <c r="R39" i="86"/>
  <c r="AA39" i="86" s="1"/>
  <c r="Q39" i="86"/>
  <c r="Z39" i="86" s="1"/>
  <c r="AU39" i="86" s="1"/>
  <c r="P39" i="86"/>
  <c r="Y39" i="86" s="1"/>
  <c r="O39" i="86"/>
  <c r="X39" i="86" s="1"/>
  <c r="G39" i="86"/>
  <c r="F39" i="86"/>
  <c r="AW38" i="86"/>
  <c r="AY38" i="86"/>
  <c r="AD38" i="86"/>
  <c r="AC38" i="86"/>
  <c r="AV38" i="86" s="1"/>
  <c r="U38" i="86"/>
  <c r="AF38" i="86" s="1"/>
  <c r="S38" i="86"/>
  <c r="AB38" i="86" s="1"/>
  <c r="R38" i="86"/>
  <c r="Q38" i="86"/>
  <c r="Z38" i="86" s="1"/>
  <c r="AU38" i="86" s="1"/>
  <c r="P38" i="86"/>
  <c r="Y38" i="86" s="1"/>
  <c r="O38" i="86"/>
  <c r="X38" i="86" s="1"/>
  <c r="G38" i="86"/>
  <c r="F38" i="86"/>
  <c r="AW37" i="86"/>
  <c r="AY37" i="86"/>
  <c r="AD37" i="86"/>
  <c r="AC37" i="86"/>
  <c r="AV37" i="86" s="1"/>
  <c r="U37" i="86"/>
  <c r="AF37" i="86" s="1"/>
  <c r="R37" i="86"/>
  <c r="Q37" i="86"/>
  <c r="Z37" i="86" s="1"/>
  <c r="AU37" i="86" s="1"/>
  <c r="P37" i="86"/>
  <c r="Y37" i="86" s="1"/>
  <c r="O37" i="86"/>
  <c r="X37" i="86" s="1"/>
  <c r="G37" i="86"/>
  <c r="F37" i="86"/>
  <c r="AW36" i="86"/>
  <c r="AY36" i="86"/>
  <c r="AD36" i="86"/>
  <c r="AC36" i="86"/>
  <c r="AV36" i="86" s="1"/>
  <c r="U36" i="86"/>
  <c r="AF36" i="86" s="1"/>
  <c r="S36" i="86"/>
  <c r="AB36" i="86" s="1"/>
  <c r="R36" i="86"/>
  <c r="AA36" i="86" s="1"/>
  <c r="Q36" i="86"/>
  <c r="Z36" i="86" s="1"/>
  <c r="AU36" i="86" s="1"/>
  <c r="P36" i="86"/>
  <c r="Y36" i="86" s="1"/>
  <c r="O36" i="86"/>
  <c r="X36" i="86" s="1"/>
  <c r="G36" i="86"/>
  <c r="F36" i="86"/>
  <c r="AW35" i="86"/>
  <c r="AY35" i="86"/>
  <c r="AC35" i="86"/>
  <c r="AV35" i="86" s="1"/>
  <c r="U35" i="86"/>
  <c r="AF35" i="86" s="1"/>
  <c r="S35" i="86"/>
  <c r="AB35" i="86" s="1"/>
  <c r="R35" i="86"/>
  <c r="AA35" i="86" s="1"/>
  <c r="Q35" i="86"/>
  <c r="Z35" i="86" s="1"/>
  <c r="AU35" i="86" s="1"/>
  <c r="P35" i="86"/>
  <c r="Y35" i="86" s="1"/>
  <c r="O35" i="86"/>
  <c r="G35" i="86"/>
  <c r="F35" i="86"/>
  <c r="AW33" i="86"/>
  <c r="AY33" i="86"/>
  <c r="AD33" i="86"/>
  <c r="AC33" i="86"/>
  <c r="AV33" i="86" s="1"/>
  <c r="U33" i="86"/>
  <c r="AF33" i="86" s="1"/>
  <c r="S33" i="86"/>
  <c r="AB33" i="86" s="1"/>
  <c r="R33" i="86"/>
  <c r="AA33" i="86" s="1"/>
  <c r="Q33" i="86"/>
  <c r="Z33" i="86" s="1"/>
  <c r="AU33" i="86" s="1"/>
  <c r="P33" i="86"/>
  <c r="Y33" i="86" s="1"/>
  <c r="O33" i="86"/>
  <c r="X33" i="86" s="1"/>
  <c r="F33" i="86"/>
  <c r="AY32" i="86"/>
  <c r="AD32" i="86"/>
  <c r="AC32" i="86"/>
  <c r="U32" i="86"/>
  <c r="AF32" i="86" s="1"/>
  <c r="S32" i="86"/>
  <c r="AB32" i="86" s="1"/>
  <c r="R32" i="86"/>
  <c r="AA32" i="86" s="1"/>
  <c r="Q32" i="86"/>
  <c r="Z32" i="86" s="1"/>
  <c r="P32" i="86"/>
  <c r="Y32" i="86" s="1"/>
  <c r="O32" i="86"/>
  <c r="X32" i="86" s="1"/>
  <c r="G32" i="86"/>
  <c r="F32" i="86"/>
  <c r="AW31" i="86"/>
  <c r="AY31" i="86"/>
  <c r="AD31" i="86"/>
  <c r="AC31" i="86"/>
  <c r="AV31" i="86" s="1"/>
  <c r="U31" i="86"/>
  <c r="AF31" i="86" s="1"/>
  <c r="S31" i="86"/>
  <c r="AB31" i="86" s="1"/>
  <c r="R31" i="86"/>
  <c r="AA31" i="86" s="1"/>
  <c r="Q31" i="86"/>
  <c r="Z31" i="86" s="1"/>
  <c r="AU31" i="86" s="1"/>
  <c r="P31" i="86"/>
  <c r="Y31" i="86" s="1"/>
  <c r="O31" i="86"/>
  <c r="X31" i="86" s="1"/>
  <c r="G31" i="86"/>
  <c r="F31" i="86"/>
  <c r="AW30" i="86"/>
  <c r="AY30" i="86"/>
  <c r="AD30" i="86"/>
  <c r="AC30" i="86"/>
  <c r="AV30" i="86" s="1"/>
  <c r="U30" i="86"/>
  <c r="AF30" i="86" s="1"/>
  <c r="R30" i="86"/>
  <c r="Q30" i="86"/>
  <c r="Z30" i="86" s="1"/>
  <c r="AU30" i="86" s="1"/>
  <c r="P30" i="86"/>
  <c r="Y30" i="86" s="1"/>
  <c r="O30" i="86"/>
  <c r="X30" i="86" s="1"/>
  <c r="G30" i="86"/>
  <c r="F30" i="86"/>
  <c r="AW29" i="86"/>
  <c r="AY29" i="86"/>
  <c r="AD29" i="86"/>
  <c r="AC29" i="86"/>
  <c r="AV29" i="86" s="1"/>
  <c r="U29" i="86"/>
  <c r="AF29" i="86" s="1"/>
  <c r="S29" i="86"/>
  <c r="AB29" i="86" s="1"/>
  <c r="R29" i="86"/>
  <c r="AA29" i="86" s="1"/>
  <c r="Q29" i="86"/>
  <c r="Z29" i="86" s="1"/>
  <c r="AU29" i="86" s="1"/>
  <c r="P29" i="86"/>
  <c r="Y29" i="86" s="1"/>
  <c r="O29" i="86"/>
  <c r="X29" i="86" s="1"/>
  <c r="G29" i="86"/>
  <c r="F29" i="86"/>
  <c r="AW28" i="86"/>
  <c r="AY28" i="86"/>
  <c r="AD28" i="86"/>
  <c r="AC28" i="86"/>
  <c r="AV28" i="86" s="1"/>
  <c r="U28" i="86"/>
  <c r="AF28" i="86" s="1"/>
  <c r="S28" i="86"/>
  <c r="AB28" i="86" s="1"/>
  <c r="R28" i="86"/>
  <c r="AA28" i="86" s="1"/>
  <c r="Q28" i="86"/>
  <c r="Z28" i="86" s="1"/>
  <c r="AU28" i="86" s="1"/>
  <c r="P28" i="86"/>
  <c r="Y28" i="86" s="1"/>
  <c r="O28" i="86"/>
  <c r="X28" i="86" s="1"/>
  <c r="G28" i="86"/>
  <c r="F28" i="86"/>
  <c r="AW26" i="86"/>
  <c r="AY26" i="86"/>
  <c r="AD26" i="86"/>
  <c r="AC26" i="86"/>
  <c r="AV26" i="86" s="1"/>
  <c r="U26" i="86"/>
  <c r="AF26" i="86" s="1"/>
  <c r="S26" i="86"/>
  <c r="AB26" i="86" s="1"/>
  <c r="R26" i="86"/>
  <c r="AA26" i="86" s="1"/>
  <c r="Q26" i="86"/>
  <c r="Z26" i="86" s="1"/>
  <c r="AU26" i="86" s="1"/>
  <c r="P26" i="86"/>
  <c r="Y26" i="86" s="1"/>
  <c r="O26" i="86"/>
  <c r="X26" i="86" s="1"/>
  <c r="F26" i="86"/>
  <c r="AW24" i="86"/>
  <c r="AX24" i="86"/>
  <c r="AY24" i="86"/>
  <c r="AD24" i="86"/>
  <c r="AC24" i="86"/>
  <c r="AV24" i="86" s="1"/>
  <c r="U24" i="86"/>
  <c r="AF24" i="86" s="1"/>
  <c r="S24" i="86"/>
  <c r="AB24" i="86" s="1"/>
  <c r="R24" i="86"/>
  <c r="AA24" i="86" s="1"/>
  <c r="Q24" i="86"/>
  <c r="Z24" i="86" s="1"/>
  <c r="AU24" i="86" s="1"/>
  <c r="P24" i="86"/>
  <c r="Y24" i="86" s="1"/>
  <c r="O24" i="86"/>
  <c r="X24" i="86" s="1"/>
  <c r="G24" i="86"/>
  <c r="F24" i="86"/>
  <c r="AW23" i="86"/>
  <c r="AX23" i="86"/>
  <c r="AY23" i="86"/>
  <c r="AD23" i="86"/>
  <c r="AC23" i="86"/>
  <c r="AV23" i="86" s="1"/>
  <c r="U23" i="86"/>
  <c r="AF23" i="86" s="1"/>
  <c r="R23" i="86"/>
  <c r="Q23" i="86"/>
  <c r="Z23" i="86" s="1"/>
  <c r="AU23" i="86" s="1"/>
  <c r="P23" i="86"/>
  <c r="Y23" i="86" s="1"/>
  <c r="O23" i="86"/>
  <c r="X23" i="86" s="1"/>
  <c r="G23" i="86"/>
  <c r="F23" i="86"/>
  <c r="AW22" i="86"/>
  <c r="AX22" i="86"/>
  <c r="AY22" i="86"/>
  <c r="AD22" i="86"/>
  <c r="AC22" i="86"/>
  <c r="AV22" i="86" s="1"/>
  <c r="U22" i="86"/>
  <c r="AF22" i="86" s="1"/>
  <c r="S22" i="86"/>
  <c r="AB22" i="86" s="1"/>
  <c r="R22" i="86"/>
  <c r="AA22" i="86" s="1"/>
  <c r="Q22" i="86"/>
  <c r="Z22" i="86" s="1"/>
  <c r="AU22" i="86" s="1"/>
  <c r="P22" i="86"/>
  <c r="Y22" i="86" s="1"/>
  <c r="O22" i="86"/>
  <c r="X22" i="86" s="1"/>
  <c r="G22" i="86"/>
  <c r="F22" i="86"/>
  <c r="AW21" i="86"/>
  <c r="AX21" i="86"/>
  <c r="AY21" i="86"/>
  <c r="AD21" i="86"/>
  <c r="AC21" i="86"/>
  <c r="AV21" i="86" s="1"/>
  <c r="U21" i="86"/>
  <c r="AF21" i="86" s="1"/>
  <c r="S21" i="86"/>
  <c r="AB21" i="86" s="1"/>
  <c r="R21" i="86"/>
  <c r="AA21" i="86" s="1"/>
  <c r="Q21" i="86"/>
  <c r="Z21" i="86" s="1"/>
  <c r="AU21" i="86" s="1"/>
  <c r="P21" i="86"/>
  <c r="Y21" i="86" s="1"/>
  <c r="O21" i="86"/>
  <c r="G21" i="86"/>
  <c r="F21" i="86"/>
  <c r="AW19" i="86"/>
  <c r="AY19" i="86"/>
  <c r="AD19" i="86"/>
  <c r="AC19" i="86"/>
  <c r="AV19" i="86" s="1"/>
  <c r="U19" i="86"/>
  <c r="AF19" i="86" s="1"/>
  <c r="S19" i="86"/>
  <c r="AB19" i="86" s="1"/>
  <c r="R19" i="86"/>
  <c r="AA19" i="86" s="1"/>
  <c r="Q19" i="86"/>
  <c r="Z19" i="86" s="1"/>
  <c r="AU19" i="86" s="1"/>
  <c r="P19" i="86"/>
  <c r="Y19" i="86" s="1"/>
  <c r="O19" i="86"/>
  <c r="X19" i="86" s="1"/>
  <c r="F19" i="86"/>
  <c r="AW17" i="86"/>
  <c r="AY17" i="86"/>
  <c r="AD17" i="86"/>
  <c r="AC17" i="86"/>
  <c r="AV17" i="86" s="1"/>
  <c r="U17" i="86"/>
  <c r="AF17" i="86" s="1"/>
  <c r="S17" i="86"/>
  <c r="AB17" i="86" s="1"/>
  <c r="R17" i="86"/>
  <c r="AA17" i="86" s="1"/>
  <c r="Q17" i="86"/>
  <c r="Z17" i="86" s="1"/>
  <c r="AU17" i="86" s="1"/>
  <c r="P17" i="86"/>
  <c r="Y17" i="86" s="1"/>
  <c r="O17" i="86"/>
  <c r="X17" i="86" s="1"/>
  <c r="G17" i="86"/>
  <c r="F17" i="86"/>
  <c r="AW16" i="86"/>
  <c r="AY16" i="86"/>
  <c r="AD16" i="86"/>
  <c r="AC16" i="86"/>
  <c r="AV16" i="86" s="1"/>
  <c r="U16" i="86"/>
  <c r="AF16" i="86" s="1"/>
  <c r="R16" i="86"/>
  <c r="AA16" i="86" s="1"/>
  <c r="Q16" i="86"/>
  <c r="Z16" i="86" s="1"/>
  <c r="AU16" i="86" s="1"/>
  <c r="P16" i="86"/>
  <c r="Y16" i="86" s="1"/>
  <c r="O16" i="86"/>
  <c r="X16" i="86" s="1"/>
  <c r="G16" i="86"/>
  <c r="F16" i="86"/>
  <c r="AW15" i="86"/>
  <c r="AY15" i="86"/>
  <c r="AD15" i="86"/>
  <c r="AC15" i="86"/>
  <c r="AV15" i="86" s="1"/>
  <c r="U15" i="86"/>
  <c r="AF15" i="86" s="1"/>
  <c r="S15" i="86"/>
  <c r="AB15" i="86" s="1"/>
  <c r="R15" i="86"/>
  <c r="AA15" i="86" s="1"/>
  <c r="Q15" i="86"/>
  <c r="Z15" i="86" s="1"/>
  <c r="AU15" i="86" s="1"/>
  <c r="P15" i="86"/>
  <c r="Y15" i="86" s="1"/>
  <c r="O15" i="86"/>
  <c r="X15" i="86" s="1"/>
  <c r="G15" i="86"/>
  <c r="F15" i="86"/>
  <c r="AW14" i="86"/>
  <c r="AY14" i="86"/>
  <c r="AD14" i="86"/>
  <c r="AC14" i="86"/>
  <c r="AV14" i="86" s="1"/>
  <c r="U14" i="86"/>
  <c r="AF14" i="86" s="1"/>
  <c r="S14" i="86"/>
  <c r="AB14" i="86" s="1"/>
  <c r="R14" i="86"/>
  <c r="AA14" i="86" s="1"/>
  <c r="Q14" i="86"/>
  <c r="Z14" i="86" s="1"/>
  <c r="AU14" i="86" s="1"/>
  <c r="P14" i="86"/>
  <c r="Y14" i="86" s="1"/>
  <c r="O14" i="86"/>
  <c r="G14" i="86"/>
  <c r="F14" i="86"/>
  <c r="D14" i="86"/>
  <c r="D15" i="86" s="1"/>
  <c r="D16" i="86" s="1"/>
  <c r="D17" i="86" s="1"/>
  <c r="AD12" i="86"/>
  <c r="AD10" i="86"/>
  <c r="AD8" i="86"/>
  <c r="AG17" i="32" l="1"/>
  <c r="AC17" i="32"/>
  <c r="AH17" i="32"/>
  <c r="AA17" i="32"/>
  <c r="AE17" i="32"/>
  <c r="W16" i="32"/>
  <c r="W18" i="32"/>
  <c r="AF17" i="32"/>
  <c r="W17" i="32"/>
  <c r="W15" i="32"/>
  <c r="W14" i="32"/>
  <c r="AU32" i="86"/>
  <c r="P17" i="32" s="1"/>
  <c r="AV32" i="86"/>
  <c r="T17" i="32" s="1"/>
  <c r="AW32" i="86"/>
  <c r="D18" i="86"/>
  <c r="D19" i="86" s="1"/>
  <c r="AA89" i="86"/>
  <c r="AA80" i="86"/>
  <c r="Z70" i="86"/>
  <c r="AU70" i="86" s="1"/>
  <c r="AA59" i="86"/>
  <c r="X56" i="86"/>
  <c r="AA51" i="86"/>
  <c r="AA45" i="86"/>
  <c r="X42" i="86"/>
  <c r="AA37" i="86"/>
  <c r="AA38" i="86"/>
  <c r="X35" i="86"/>
  <c r="AA30" i="86"/>
  <c r="X21" i="86"/>
  <c r="AA23" i="86"/>
  <c r="X14" i="86"/>
  <c r="BD26" i="86"/>
  <c r="BD75" i="86"/>
  <c r="BD31" i="86"/>
  <c r="BD73" i="86"/>
  <c r="BD57" i="86"/>
  <c r="BD17" i="86"/>
  <c r="BD45" i="86"/>
  <c r="BD14" i="86"/>
  <c r="BD42" i="86"/>
  <c r="BD89" i="86"/>
  <c r="AX70" i="86"/>
  <c r="BD70" i="86"/>
  <c r="BD85" i="86"/>
  <c r="AX85" i="86"/>
  <c r="BD16" i="86"/>
  <c r="BD28" i="86"/>
  <c r="BD39" i="86"/>
  <c r="BD44" i="86"/>
  <c r="BD22" i="86"/>
  <c r="BD15" i="86"/>
  <c r="BD19" i="86"/>
  <c r="BD21" i="86"/>
  <c r="BD43" i="86"/>
  <c r="BD46" i="86"/>
  <c r="AX56" i="86"/>
  <c r="BD56" i="86"/>
  <c r="BD84" i="86"/>
  <c r="AX84" i="86"/>
  <c r="BD86" i="86"/>
  <c r="AX86" i="86"/>
  <c r="BD64" i="86"/>
  <c r="BD65" i="86"/>
  <c r="BD87" i="86"/>
  <c r="BD88" i="86"/>
  <c r="BD23" i="86"/>
  <c r="BD24" i="86"/>
  <c r="BD30" i="86"/>
  <c r="BD32" i="86"/>
  <c r="BD33" i="86"/>
  <c r="BD67" i="86"/>
  <c r="BD68" i="86"/>
  <c r="BD71" i="86"/>
  <c r="BD72" i="86"/>
  <c r="BD63" i="86"/>
  <c r="BD66" i="86"/>
  <c r="BD74" i="86"/>
  <c r="BD29" i="86"/>
  <c r="BD35" i="86"/>
  <c r="BD36" i="86"/>
  <c r="BD37" i="86"/>
  <c r="BD38" i="86"/>
  <c r="BD40" i="86"/>
  <c r="BD47" i="86"/>
  <c r="BD58" i="86"/>
  <c r="BD59" i="86"/>
  <c r="AX87" i="86"/>
  <c r="AX88" i="86"/>
  <c r="AX89" i="86"/>
  <c r="BD81" i="86"/>
  <c r="AX81" i="86"/>
  <c r="BD77" i="86"/>
  <c r="BD78" i="86"/>
  <c r="BD79" i="86"/>
  <c r="BD80" i="86"/>
  <c r="X77" i="86"/>
  <c r="BD82" i="86"/>
  <c r="AX82" i="86"/>
  <c r="AX77" i="86"/>
  <c r="AX78" i="86"/>
  <c r="AX79" i="86"/>
  <c r="AX80" i="86"/>
  <c r="AX74" i="86"/>
  <c r="AX75" i="86"/>
  <c r="AX67" i="86"/>
  <c r="AX68" i="86"/>
  <c r="AX63" i="86"/>
  <c r="AX64" i="86"/>
  <c r="AX65" i="86"/>
  <c r="AX66" i="86"/>
  <c r="BD60" i="86"/>
  <c r="BD61" i="86"/>
  <c r="AX60" i="86"/>
  <c r="AX61" i="86"/>
  <c r="BD53" i="86"/>
  <c r="AX53" i="86"/>
  <c r="BD54" i="86"/>
  <c r="AX54" i="86"/>
  <c r="BD49" i="86"/>
  <c r="BD50" i="86"/>
  <c r="BD51" i="86"/>
  <c r="BD52" i="86"/>
  <c r="X49" i="86"/>
  <c r="AX49" i="86"/>
  <c r="AX50" i="86"/>
  <c r="AX51" i="86"/>
  <c r="AX52" i="86"/>
  <c r="AX46" i="86"/>
  <c r="AX47" i="86"/>
  <c r="AX42" i="86"/>
  <c r="AX43" i="86"/>
  <c r="AX44" i="86"/>
  <c r="AX45" i="86"/>
  <c r="AX39" i="86"/>
  <c r="AX40" i="86"/>
  <c r="AX35" i="86"/>
  <c r="AX36" i="86"/>
  <c r="AX37" i="86"/>
  <c r="AX38" i="86"/>
  <c r="AX32" i="86"/>
  <c r="AX33" i="86"/>
  <c r="AX28" i="86"/>
  <c r="AX29" i="86"/>
  <c r="AX30" i="86"/>
  <c r="AX31" i="86"/>
  <c r="AX26" i="86"/>
  <c r="AX19" i="86"/>
  <c r="AX16" i="86"/>
  <c r="AX17" i="86"/>
  <c r="AX14" i="86"/>
  <c r="AX15" i="86"/>
  <c r="AB17" i="32" l="1"/>
  <c r="U17" i="32"/>
  <c r="Y17" i="32"/>
  <c r="AC18" i="32"/>
  <c r="AC16" i="32"/>
  <c r="AC15" i="32"/>
  <c r="AC14" i="32"/>
  <c r="AC13" i="32"/>
  <c r="AD7" i="86"/>
  <c r="W13" i="32" s="1"/>
  <c r="AC12" i="86"/>
  <c r="AC10" i="86"/>
  <c r="AC9" i="86"/>
  <c r="AC8" i="86"/>
  <c r="AC7" i="86"/>
  <c r="AA4" i="31" l="1"/>
  <c r="P4" i="31"/>
  <c r="AB4" i="31" l="1"/>
  <c r="Q4" i="31"/>
  <c r="AV8" i="86"/>
  <c r="AV9" i="86"/>
  <c r="AV10" i="86"/>
  <c r="T16" i="32" s="1"/>
  <c r="AV12" i="86"/>
  <c r="T18" i="32" s="1"/>
  <c r="AV7" i="86"/>
  <c r="T13" i="32" s="1"/>
  <c r="T14" i="32" l="1"/>
  <c r="AV90" i="86"/>
  <c r="T15" i="32"/>
  <c r="AC4" i="31"/>
  <c r="R4" i="31"/>
  <c r="S12" i="86"/>
  <c r="AB12" i="86" s="1"/>
  <c r="S10" i="86"/>
  <c r="AB10" i="86" s="1"/>
  <c r="S8" i="86"/>
  <c r="AB8" i="86" s="1"/>
  <c r="S7" i="86"/>
  <c r="AB7" i="86" s="1"/>
  <c r="P12" i="86"/>
  <c r="Y12" i="86" s="1"/>
  <c r="P10" i="86"/>
  <c r="Y10" i="86" s="1"/>
  <c r="P9" i="86"/>
  <c r="Y9" i="86" s="1"/>
  <c r="P8" i="86"/>
  <c r="Y8" i="86" s="1"/>
  <c r="P7" i="86"/>
  <c r="Y7" i="86" s="1"/>
  <c r="AD4" i="31" l="1"/>
  <c r="S4" i="31"/>
  <c r="U7" i="86"/>
  <c r="AF7" i="86" s="1"/>
  <c r="U8" i="86"/>
  <c r="AF8" i="86" s="1"/>
  <c r="U9" i="86"/>
  <c r="AF9" i="86" s="1"/>
  <c r="U10" i="86"/>
  <c r="AF10" i="86" s="1"/>
  <c r="U12" i="86"/>
  <c r="AF12" i="86" s="1"/>
  <c r="AE4" i="31" l="1"/>
  <c r="T4" i="31"/>
  <c r="AH18" i="32"/>
  <c r="AG18" i="32"/>
  <c r="AF18" i="32"/>
  <c r="AE18" i="32"/>
  <c r="AY12" i="86"/>
  <c r="AH16" i="32"/>
  <c r="AG16" i="32"/>
  <c r="AF16" i="32"/>
  <c r="AE16" i="32"/>
  <c r="AY10" i="86"/>
  <c r="AH15" i="32"/>
  <c r="AG15" i="32"/>
  <c r="AF15" i="32"/>
  <c r="AE15" i="32"/>
  <c r="AY9" i="86"/>
  <c r="AH14" i="32"/>
  <c r="AG14" i="32"/>
  <c r="AF14" i="32"/>
  <c r="AE14" i="32"/>
  <c r="AY8" i="86"/>
  <c r="AH13" i="32"/>
  <c r="AG13" i="32"/>
  <c r="AF13" i="32"/>
  <c r="AE13" i="32"/>
  <c r="AY7" i="86"/>
  <c r="AA18" i="32"/>
  <c r="AA16" i="32"/>
  <c r="AA15" i="32"/>
  <c r="AA14" i="32"/>
  <c r="AA13" i="32"/>
  <c r="Q12" i="86"/>
  <c r="Z12" i="86" s="1"/>
  <c r="Q10" i="86"/>
  <c r="Z10" i="86" s="1"/>
  <c r="Q9" i="86"/>
  <c r="Q8" i="86"/>
  <c r="Z8" i="86" s="1"/>
  <c r="O7" i="86"/>
  <c r="X7" i="86" s="1"/>
  <c r="Q7" i="86"/>
  <c r="Z7" i="86" s="1"/>
  <c r="D21" i="86"/>
  <c r="D25" i="86" s="1"/>
  <c r="D12" i="86"/>
  <c r="D10" i="86"/>
  <c r="R9" i="86"/>
  <c r="AA9" i="86" s="1"/>
  <c r="O9" i="86"/>
  <c r="X9" i="86" s="1"/>
  <c r="G9" i="86"/>
  <c r="F9" i="86"/>
  <c r="D9" i="86"/>
  <c r="O8" i="86"/>
  <c r="X8" i="86" s="1"/>
  <c r="G8" i="86"/>
  <c r="D8" i="86"/>
  <c r="C8" i="86"/>
  <c r="C9" i="86" s="1"/>
  <c r="C10" i="86" s="1"/>
  <c r="D3" i="86"/>
  <c r="E3" i="86" s="1"/>
  <c r="F3" i="86" s="1"/>
  <c r="G3" i="86" s="1"/>
  <c r="H3" i="86" s="1"/>
  <c r="I3" i="86" s="1"/>
  <c r="J3" i="86" s="1"/>
  <c r="K3" i="86" s="1"/>
  <c r="L3" i="86" s="1"/>
  <c r="N3" i="86" s="1"/>
  <c r="O3" i="86" s="1"/>
  <c r="P3" i="86" s="1"/>
  <c r="Q3" i="86" s="1"/>
  <c r="R3" i="86" s="1"/>
  <c r="S3" i="86" s="1"/>
  <c r="T3" i="86" s="1"/>
  <c r="U3" i="86" s="1"/>
  <c r="V3" i="86" s="1"/>
  <c r="W3" i="86" s="1"/>
  <c r="X3" i="86" s="1"/>
  <c r="Y3" i="86" s="1"/>
  <c r="Z3" i="86" s="1"/>
  <c r="AA3" i="86" s="1"/>
  <c r="AB3" i="86" s="1"/>
  <c r="AC3" i="86" s="1"/>
  <c r="AD3" i="86" s="1"/>
  <c r="AE3" i="86" s="1"/>
  <c r="AF3" i="86" s="1"/>
  <c r="AG3" i="86" s="1"/>
  <c r="AH3" i="86" s="1"/>
  <c r="AI3" i="86" s="1"/>
  <c r="AJ3" i="86" s="1"/>
  <c r="AK3" i="86" s="1"/>
  <c r="AL3" i="86" s="1"/>
  <c r="AM3" i="86" s="1"/>
  <c r="AN3" i="86" s="1"/>
  <c r="AO3" i="86" s="1"/>
  <c r="AP3" i="86" s="1"/>
  <c r="AQ3" i="86" s="1"/>
  <c r="AR3" i="86" s="1"/>
  <c r="AS3" i="86" s="1"/>
  <c r="AT3" i="86" s="1"/>
  <c r="AW3" i="86" s="1"/>
  <c r="AX3" i="86" s="1"/>
  <c r="AY3" i="86" s="1"/>
  <c r="BA3" i="86" s="1"/>
  <c r="BB3" i="86" s="1"/>
  <c r="BC3" i="86" s="1"/>
  <c r="BD3" i="86" s="1"/>
  <c r="BE3" i="86" s="1"/>
  <c r="BF3" i="86" s="1"/>
  <c r="BG3" i="86" s="1"/>
  <c r="BH3" i="86" s="1"/>
  <c r="BJ3" i="86" s="1"/>
  <c r="BK3" i="86" s="1"/>
  <c r="BL3" i="86" s="1"/>
  <c r="BM3" i="86" s="1"/>
  <c r="C11" i="86" l="1"/>
  <c r="C12" i="86" s="1"/>
  <c r="C14" i="86" s="1"/>
  <c r="C15" i="86" s="1"/>
  <c r="C16" i="86" s="1"/>
  <c r="C17" i="86" s="1"/>
  <c r="AW7" i="86"/>
  <c r="AU12" i="86"/>
  <c r="P18" i="32" s="1"/>
  <c r="AW9" i="86"/>
  <c r="AW12" i="86"/>
  <c r="AU8" i="86"/>
  <c r="P14" i="32" s="1"/>
  <c r="AW10" i="86"/>
  <c r="AU7" i="86"/>
  <c r="BR7" i="86" s="1"/>
  <c r="AU10" i="86"/>
  <c r="P16" i="32" s="1"/>
  <c r="AW8" i="86"/>
  <c r="AQ4" i="31"/>
  <c r="AF4" i="31"/>
  <c r="U4" i="31"/>
  <c r="AX7" i="86"/>
  <c r="BD7" i="86"/>
  <c r="Y13" i="32" s="1"/>
  <c r="AX9" i="86"/>
  <c r="BD9" i="86"/>
  <c r="Y15" i="32" s="1"/>
  <c r="AX10" i="86"/>
  <c r="BD10" i="86"/>
  <c r="Y16" i="32" s="1"/>
  <c r="Z9" i="86"/>
  <c r="AX8" i="86"/>
  <c r="BD8" i="86"/>
  <c r="Y14" i="32" s="1"/>
  <c r="AX12" i="86"/>
  <c r="BD12" i="86"/>
  <c r="Y18" i="32" s="1"/>
  <c r="D28" i="86"/>
  <c r="D23" i="86"/>
  <c r="D24" i="86"/>
  <c r="D26" i="86"/>
  <c r="G10" i="86"/>
  <c r="R10" i="86"/>
  <c r="AA10" i="86" s="1"/>
  <c r="F10" i="86"/>
  <c r="O10" i="86"/>
  <c r="X10" i="86" s="1"/>
  <c r="O12" i="86"/>
  <c r="X12" i="86" s="1"/>
  <c r="F12" i="86"/>
  <c r="G7" i="86"/>
  <c r="R7" i="86"/>
  <c r="AA7" i="86" s="1"/>
  <c r="F7" i="86"/>
  <c r="R12" i="86"/>
  <c r="AA12" i="86" s="1"/>
  <c r="F8" i="86"/>
  <c r="R8" i="86"/>
  <c r="AA8" i="86" s="1"/>
  <c r="D22" i="86"/>
  <c r="H118" i="6" l="1"/>
  <c r="G117" i="6"/>
  <c r="F136" i="6"/>
  <c r="U14" i="32"/>
  <c r="AB14" i="32"/>
  <c r="P13" i="32"/>
  <c r="U15" i="32"/>
  <c r="AB15" i="32"/>
  <c r="U13" i="32"/>
  <c r="AB13" i="32"/>
  <c r="U18" i="32"/>
  <c r="AB18" i="32"/>
  <c r="V16" i="32"/>
  <c r="V15" i="32"/>
  <c r="V14" i="32"/>
  <c r="V13" i="32"/>
  <c r="V18" i="32"/>
  <c r="V17" i="32"/>
  <c r="AB16" i="32"/>
  <c r="U16" i="32"/>
  <c r="C18" i="86"/>
  <c r="C19" i="86" s="1"/>
  <c r="C21" i="86" s="1"/>
  <c r="C22" i="86" s="1"/>
  <c r="C23" i="86" s="1"/>
  <c r="C24" i="86" s="1"/>
  <c r="AU9" i="86"/>
  <c r="AU90" i="86" s="1"/>
  <c r="AR4" i="31"/>
  <c r="AG4" i="31"/>
  <c r="V4" i="31"/>
  <c r="D32" i="86"/>
  <c r="D30" i="86"/>
  <c r="D29" i="86"/>
  <c r="D31" i="86"/>
  <c r="D35" i="86"/>
  <c r="D40" i="86" s="1"/>
  <c r="D33" i="86"/>
  <c r="H171" i="33" l="1"/>
  <c r="I171" i="33" s="1"/>
  <c r="J136" i="6"/>
  <c r="J138" i="6" s="1"/>
  <c r="M136" i="6"/>
  <c r="M138" i="6" s="1"/>
  <c r="J117" i="6"/>
  <c r="M117" i="6"/>
  <c r="P15" i="32"/>
  <c r="C25" i="86"/>
  <c r="C26" i="86" s="1"/>
  <c r="C28" i="86" s="1"/>
  <c r="C29" i="86" s="1"/>
  <c r="C30" i="86" s="1"/>
  <c r="C31" i="86" s="1"/>
  <c r="C32" i="86" s="1"/>
  <c r="C33" i="86" s="1"/>
  <c r="AH4" i="31"/>
  <c r="AS4" i="31"/>
  <c r="W4" i="31"/>
  <c r="D36" i="86"/>
  <c r="D39" i="86"/>
  <c r="D37" i="86"/>
  <c r="D38" i="86"/>
  <c r="D42" i="86"/>
  <c r="G172" i="33" s="1"/>
  <c r="H168" i="33" l="1"/>
  <c r="H169" i="33"/>
  <c r="I169" i="33" s="1"/>
  <c r="G168" i="33"/>
  <c r="H173" i="33"/>
  <c r="I173" i="33" s="1"/>
  <c r="H172" i="33"/>
  <c r="I172" i="33" s="1"/>
  <c r="H170" i="33"/>
  <c r="I170" i="33" s="1"/>
  <c r="G171" i="33"/>
  <c r="G173" i="33"/>
  <c r="G170" i="33"/>
  <c r="G169" i="33"/>
  <c r="H156" i="33"/>
  <c r="I156" i="33" s="1"/>
  <c r="M140" i="6"/>
  <c r="M141" i="6" s="1"/>
  <c r="AI4" i="31"/>
  <c r="AT4" i="31"/>
  <c r="X4" i="31"/>
  <c r="C35" i="86"/>
  <c r="C36" i="86" s="1"/>
  <c r="C37" i="86" s="1"/>
  <c r="C38" i="86" s="1"/>
  <c r="C39" i="86" s="1"/>
  <c r="C40" i="86" s="1"/>
  <c r="D45" i="86"/>
  <c r="G155" i="33" s="1"/>
  <c r="D46" i="86"/>
  <c r="D49" i="86"/>
  <c r="D54" i="86" s="1"/>
  <c r="D43" i="86"/>
  <c r="D44" i="86"/>
  <c r="D47" i="86"/>
  <c r="H136" i="33" s="1"/>
  <c r="H155" i="33" l="1"/>
  <c r="I155" i="33" s="1"/>
  <c r="I136" i="33"/>
  <c r="H141" i="33"/>
  <c r="I141" i="33" s="1"/>
  <c r="H140" i="33"/>
  <c r="I140" i="33" s="1"/>
  <c r="G139" i="33"/>
  <c r="G136" i="33"/>
  <c r="H153" i="33"/>
  <c r="I153" i="33" s="1"/>
  <c r="H154" i="33"/>
  <c r="I154" i="33" s="1"/>
  <c r="G152" i="33"/>
  <c r="G153" i="33"/>
  <c r="G156" i="33"/>
  <c r="G137" i="33"/>
  <c r="H157" i="33"/>
  <c r="I157" i="33" s="1"/>
  <c r="G140" i="33"/>
  <c r="H174" i="33"/>
  <c r="I168" i="33"/>
  <c r="I174" i="33" s="1"/>
  <c r="H152" i="33"/>
  <c r="G157" i="33"/>
  <c r="H139" i="33"/>
  <c r="I139" i="33" s="1"/>
  <c r="G174" i="33"/>
  <c r="G154" i="33"/>
  <c r="H137" i="33"/>
  <c r="I137" i="33" s="1"/>
  <c r="G141" i="33"/>
  <c r="H138" i="33"/>
  <c r="I138" i="33" s="1"/>
  <c r="G138" i="33"/>
  <c r="AJ4" i="31"/>
  <c r="AU4" i="31"/>
  <c r="Y4" i="31"/>
  <c r="C42" i="86"/>
  <c r="C43" i="86" s="1"/>
  <c r="C44" i="86" s="1"/>
  <c r="C45" i="86" s="1"/>
  <c r="C46" i="86" s="1"/>
  <c r="C47" i="86" s="1"/>
  <c r="D51" i="86"/>
  <c r="D50" i="86"/>
  <c r="D52" i="86"/>
  <c r="D56" i="86"/>
  <c r="D59" i="86" s="1"/>
  <c r="D53" i="86"/>
  <c r="G142" i="33" l="1"/>
  <c r="M135" i="33" s="1"/>
  <c r="H158" i="33"/>
  <c r="I152" i="33"/>
  <c r="I158" i="33" s="1"/>
  <c r="N137" i="33" s="1"/>
  <c r="G158" i="33"/>
  <c r="M137" i="33" s="1"/>
  <c r="H142" i="33"/>
  <c r="I142" i="33"/>
  <c r="N135" i="33" s="1"/>
  <c r="D58" i="86"/>
  <c r="AV4" i="31"/>
  <c r="AK4" i="31"/>
  <c r="Z4" i="31"/>
  <c r="C49" i="86"/>
  <c r="C50" i="86" s="1"/>
  <c r="C51" i="86" s="1"/>
  <c r="C52" i="86" s="1"/>
  <c r="C53" i="86" s="1"/>
  <c r="C54" i="86" s="1"/>
  <c r="D60" i="86"/>
  <c r="D63" i="86"/>
  <c r="D57" i="86"/>
  <c r="D61" i="86"/>
  <c r="AL4" i="31" l="1"/>
  <c r="AW4" i="31"/>
  <c r="C56" i="86"/>
  <c r="C57" i="86" s="1"/>
  <c r="C58" i="86" s="1"/>
  <c r="C59" i="86" s="1"/>
  <c r="C60" i="86" s="1"/>
  <c r="C61" i="86" s="1"/>
  <c r="C63" i="86" s="1"/>
  <c r="C64" i="86" s="1"/>
  <c r="C65" i="86" s="1"/>
  <c r="C66" i="86" s="1"/>
  <c r="C67" i="86" s="1"/>
  <c r="C68" i="86" s="1"/>
  <c r="D66" i="86"/>
  <c r="D70" i="86"/>
  <c r="D67" i="86"/>
  <c r="D65" i="86"/>
  <c r="D68" i="86"/>
  <c r="D64" i="86"/>
  <c r="AX4" i="31" l="1"/>
  <c r="C70" i="86"/>
  <c r="C71" i="86" s="1"/>
  <c r="C72" i="86" s="1"/>
  <c r="C73" i="86" s="1"/>
  <c r="C74" i="86" s="1"/>
  <c r="C75" i="86" s="1"/>
  <c r="D72" i="86"/>
  <c r="D77" i="86"/>
  <c r="D75" i="86"/>
  <c r="D71" i="86"/>
  <c r="D73" i="86"/>
  <c r="D74" i="86"/>
  <c r="C77" i="86" l="1"/>
  <c r="C78" i="86" s="1"/>
  <c r="C79" i="86" s="1"/>
  <c r="C80" i="86" s="1"/>
  <c r="C81" i="86" s="1"/>
  <c r="C82" i="86" s="1"/>
  <c r="D82" i="86"/>
  <c r="D78" i="86"/>
  <c r="D79" i="86"/>
  <c r="D84" i="86"/>
  <c r="D80" i="86"/>
  <c r="D81" i="86"/>
  <c r="Z40" i="31" l="1"/>
  <c r="Y40" i="31"/>
  <c r="C84" i="86"/>
  <c r="C85" i="86" s="1"/>
  <c r="C86" i="86" s="1"/>
  <c r="C87" i="86" s="1"/>
  <c r="C88" i="86" s="1"/>
  <c r="C89" i="86" s="1"/>
  <c r="D89" i="86"/>
  <c r="D85" i="86"/>
  <c r="D88" i="86"/>
  <c r="D86" i="86"/>
  <c r="D87" i="86"/>
  <c r="Q40" i="31" l="1"/>
  <c r="K18" i="30" s="1"/>
  <c r="R40" i="31"/>
  <c r="L18" i="30" s="1"/>
  <c r="S40" i="31"/>
  <c r="P40" i="31"/>
  <c r="J18" i="30" s="1"/>
  <c r="T40" i="31"/>
  <c r="N18" i="30" s="1"/>
  <c r="O40" i="31"/>
  <c r="I18" i="30" s="1"/>
  <c r="U40" i="31"/>
  <c r="V40" i="31"/>
  <c r="P18" i="30" s="1"/>
  <c r="X40" i="31"/>
  <c r="R18" i="30" s="1"/>
  <c r="W40" i="31"/>
  <c r="Q18" i="30" s="1"/>
  <c r="Z39" i="31"/>
  <c r="O48" i="31"/>
  <c r="AA38" i="31"/>
  <c r="AA43" i="31"/>
  <c r="AJ38" i="31"/>
  <c r="AD13" i="30" s="1"/>
  <c r="AB44" i="31"/>
  <c r="AI38" i="31"/>
  <c r="AC13" i="30" s="1"/>
  <c r="AH38" i="31"/>
  <c r="AB13" i="30" s="1"/>
  <c r="AI43" i="31"/>
  <c r="AJ28" i="31"/>
  <c r="AK37" i="31"/>
  <c r="AI40" i="31"/>
  <c r="AC18" i="30" s="1"/>
  <c r="AF40" i="31"/>
  <c r="Z18" i="30" s="1"/>
  <c r="AH40" i="31"/>
  <c r="AB18" i="30" s="1"/>
  <c r="AA44" i="31"/>
  <c r="AH44" i="31"/>
  <c r="AB28" i="31"/>
  <c r="AF43" i="31"/>
  <c r="AK44" i="31"/>
  <c r="AG37" i="31"/>
  <c r="AG43" i="31"/>
  <c r="AC40" i="31"/>
  <c r="W18" i="30" s="1"/>
  <c r="AD38" i="31"/>
  <c r="X13" i="30" s="1"/>
  <c r="AB43" i="31"/>
  <c r="AC43" i="31"/>
  <c r="AK28" i="31"/>
  <c r="AC44" i="31"/>
  <c r="AI44" i="31"/>
  <c r="AG44" i="31"/>
  <c r="AD43" i="31"/>
  <c r="AK43" i="31"/>
  <c r="AA40" i="31"/>
  <c r="U18" i="30" s="1"/>
  <c r="AG38" i="31"/>
  <c r="AA13" i="30" s="1"/>
  <c r="AC37" i="31"/>
  <c r="AI37" i="31"/>
  <c r="AL38" i="31"/>
  <c r="AF13" i="30" s="1"/>
  <c r="AJ44" i="31"/>
  <c r="AH28" i="31"/>
  <c r="AI28" i="31"/>
  <c r="AL40" i="31"/>
  <c r="AF18" i="30" s="1"/>
  <c r="AE43" i="31"/>
  <c r="AJ43" i="31"/>
  <c r="AC38" i="31"/>
  <c r="W13" i="30" s="1"/>
  <c r="AE44" i="31"/>
  <c r="AJ37" i="31"/>
  <c r="AE37" i="31"/>
  <c r="AJ40" i="31"/>
  <c r="AD18" i="30" s="1"/>
  <c r="AH43" i="31"/>
  <c r="AG28" i="31"/>
  <c r="AD37" i="31"/>
  <c r="AC28" i="31"/>
  <c r="AF28" i="31"/>
  <c r="AK38" i="31"/>
  <c r="AE13" i="30" s="1"/>
  <c r="AA37" i="31"/>
  <c r="AG40" i="31"/>
  <c r="AA18" i="30" s="1"/>
  <c r="AF37" i="31"/>
  <c r="AD44" i="31"/>
  <c r="AE38" i="31"/>
  <c r="Y13" i="30" s="1"/>
  <c r="AB37" i="31"/>
  <c r="AK40" i="31"/>
  <c r="AE18" i="30" s="1"/>
  <c r="AL44" i="31"/>
  <c r="AA28" i="31"/>
  <c r="AB38" i="31"/>
  <c r="AL37" i="31"/>
  <c r="AB40" i="31"/>
  <c r="V18" i="30" s="1"/>
  <c r="AE40" i="31"/>
  <c r="Y18" i="30" s="1"/>
  <c r="AD28" i="31"/>
  <c r="AF44" i="31"/>
  <c r="AE28" i="31"/>
  <c r="AL43" i="31"/>
  <c r="AF38" i="31"/>
  <c r="Z13" i="30" s="1"/>
  <c r="AD40" i="31"/>
  <c r="X18" i="30" s="1"/>
  <c r="AL28" i="31"/>
  <c r="AH37" i="31"/>
  <c r="W28" i="31"/>
  <c r="X28" i="31"/>
  <c r="Q28" i="31"/>
  <c r="P28" i="31"/>
  <c r="O28" i="31"/>
  <c r="T28" i="31"/>
  <c r="R28" i="31"/>
  <c r="Z28" i="31"/>
  <c r="U28" i="31"/>
  <c r="S28" i="31"/>
  <c r="V28" i="31"/>
  <c r="Y28" i="31"/>
  <c r="X39" i="31"/>
  <c r="T39" i="31"/>
  <c r="S39" i="31"/>
  <c r="P39" i="31"/>
  <c r="U39" i="31"/>
  <c r="V39" i="31"/>
  <c r="R39" i="31"/>
  <c r="Q39" i="31"/>
  <c r="W39" i="31"/>
  <c r="O39" i="31"/>
  <c r="Y39" i="31"/>
  <c r="Y43" i="31"/>
  <c r="AX37" i="31"/>
  <c r="AR9" i="30" s="1"/>
  <c r="S18" i="30"/>
  <c r="Q50" i="31"/>
  <c r="K36" i="30" s="1"/>
  <c r="S48" i="31"/>
  <c r="T37" i="31"/>
  <c r="O50" i="31"/>
  <c r="I36" i="30" s="1"/>
  <c r="O44" i="31"/>
  <c r="AB39" i="31"/>
  <c r="P38" i="31"/>
  <c r="Q43" i="31"/>
  <c r="O18" i="30"/>
  <c r="Q38" i="31"/>
  <c r="K13" i="30" s="1"/>
  <c r="Q49" i="31"/>
  <c r="K35" i="30" s="1"/>
  <c r="O37" i="31"/>
  <c r="Q37" i="31"/>
  <c r="R43" i="31"/>
  <c r="R38" i="31"/>
  <c r="L13" i="30" s="1"/>
  <c r="R50" i="31"/>
  <c r="L36" i="30" s="1"/>
  <c r="AA39" i="31"/>
  <c r="S49" i="31"/>
  <c r="M35" i="30" s="1"/>
  <c r="S43" i="31"/>
  <c r="AD39" i="31"/>
  <c r="P50" i="31"/>
  <c r="J36" i="30" s="1"/>
  <c r="S50" i="31"/>
  <c r="M36" i="30" s="1"/>
  <c r="P43" i="31"/>
  <c r="R37" i="31"/>
  <c r="AC39" i="31"/>
  <c r="P44" i="31"/>
  <c r="O43" i="31"/>
  <c r="Q44" i="31"/>
  <c r="R48" i="31"/>
  <c r="R44" i="31"/>
  <c r="P48" i="31"/>
  <c r="O38" i="31"/>
  <c r="S44" i="31"/>
  <c r="P37" i="31"/>
  <c r="T18" i="30"/>
  <c r="O49" i="31"/>
  <c r="I35" i="30" s="1"/>
  <c r="R49" i="31"/>
  <c r="L35" i="30" s="1"/>
  <c r="P49" i="31"/>
  <c r="J35" i="30" s="1"/>
  <c r="Q48" i="31"/>
  <c r="S38" i="31"/>
  <c r="M13" i="30" s="1"/>
  <c r="M18" i="30"/>
  <c r="S37" i="31"/>
  <c r="T49" i="31"/>
  <c r="N35" i="30" s="1"/>
  <c r="T43" i="31"/>
  <c r="AQ39" i="31"/>
  <c r="T38" i="31"/>
  <c r="N13" i="30" s="1"/>
  <c r="AE39" i="31"/>
  <c r="T48" i="31"/>
  <c r="T44" i="31"/>
  <c r="T50" i="31"/>
  <c r="N36" i="30" s="1"/>
  <c r="U49" i="31"/>
  <c r="O35" i="30" s="1"/>
  <c r="AQ48" i="31"/>
  <c r="AK34" i="30" s="1"/>
  <c r="AG39" i="31"/>
  <c r="AR50" i="31"/>
  <c r="AL36" i="30" s="1"/>
  <c r="AQ50" i="31"/>
  <c r="AK36" i="30" s="1"/>
  <c r="U38" i="31"/>
  <c r="O13" i="30" s="1"/>
  <c r="U43" i="31"/>
  <c r="U48" i="31"/>
  <c r="U37" i="31"/>
  <c r="AQ37" i="31"/>
  <c r="AK9" i="30" s="1"/>
  <c r="AQ49" i="31"/>
  <c r="AK35" i="30" s="1"/>
  <c r="AF39" i="31"/>
  <c r="U44" i="31"/>
  <c r="U50" i="31"/>
  <c r="O36" i="30" s="1"/>
  <c r="V50" i="31"/>
  <c r="P36" i="30" s="1"/>
  <c r="AR37" i="31"/>
  <c r="AL9" i="30" s="1"/>
  <c r="V49" i="31"/>
  <c r="P35" i="30" s="1"/>
  <c r="V44" i="31"/>
  <c r="AR39" i="31"/>
  <c r="AR48" i="31"/>
  <c r="AL34" i="30" s="1"/>
  <c r="V37" i="31"/>
  <c r="V38" i="31"/>
  <c r="P13" i="30" s="1"/>
  <c r="V43" i="31"/>
  <c r="V48" i="31"/>
  <c r="AR49" i="31"/>
  <c r="AL35" i="30" s="1"/>
  <c r="X49" i="31"/>
  <c r="R35" i="30" s="1"/>
  <c r="AS50" i="31"/>
  <c r="AM36" i="30" s="1"/>
  <c r="AT39" i="31"/>
  <c r="W49" i="31"/>
  <c r="Q35" i="30" s="1"/>
  <c r="AS37" i="31"/>
  <c r="AM9" i="30" s="1"/>
  <c r="W50" i="31"/>
  <c r="Q36" i="30" s="1"/>
  <c r="AH39" i="31"/>
  <c r="AS39" i="31"/>
  <c r="W44" i="31"/>
  <c r="W37" i="31"/>
  <c r="W43" i="31"/>
  <c r="AS49" i="31"/>
  <c r="AM35" i="30" s="1"/>
  <c r="W48" i="31"/>
  <c r="W38" i="31"/>
  <c r="Q13" i="30" s="1"/>
  <c r="AS48" i="31"/>
  <c r="AU50" i="31"/>
  <c r="AO36" i="30" s="1"/>
  <c r="X43" i="31"/>
  <c r="AV37" i="31"/>
  <c r="AP9" i="30" s="1"/>
  <c r="AV49" i="31"/>
  <c r="AP35" i="30" s="1"/>
  <c r="AL39" i="31"/>
  <c r="AX49" i="31"/>
  <c r="AR35" i="30" s="1"/>
  <c r="Y50" i="31"/>
  <c r="S36" i="30" s="1"/>
  <c r="AU37" i="31"/>
  <c r="AO9" i="30" s="1"/>
  <c r="Y48" i="31"/>
  <c r="AV50" i="31"/>
  <c r="AP36" i="30" s="1"/>
  <c r="X37" i="31"/>
  <c r="X44" i="31"/>
  <c r="Z44" i="31"/>
  <c r="AT50" i="31"/>
  <c r="AN36" i="30" s="1"/>
  <c r="AJ39" i="31"/>
  <c r="X50" i="31"/>
  <c r="R36" i="30" s="1"/>
  <c r="Z37" i="31"/>
  <c r="AW50" i="31"/>
  <c r="AQ36" i="30" s="1"/>
  <c r="AW39" i="31"/>
  <c r="AX39" i="31"/>
  <c r="X48" i="31"/>
  <c r="AT48" i="31"/>
  <c r="AI39" i="31"/>
  <c r="Y37" i="31"/>
  <c r="AT37" i="31"/>
  <c r="AN9" i="30" s="1"/>
  <c r="Z50" i="31"/>
  <c r="T36" i="30" s="1"/>
  <c r="AK39" i="31"/>
  <c r="Z38" i="31"/>
  <c r="T13" i="30" s="1"/>
  <c r="AW37" i="31"/>
  <c r="AQ9" i="30" s="1"/>
  <c r="Y44" i="31"/>
  <c r="AX50" i="31"/>
  <c r="AR36" i="30" s="1"/>
  <c r="AX48" i="31"/>
  <c r="AV48" i="31"/>
  <c r="Z48" i="31"/>
  <c r="Y38" i="31"/>
  <c r="S13" i="30" s="1"/>
  <c r="Z49" i="31"/>
  <c r="T35" i="30" s="1"/>
  <c r="AU49" i="31"/>
  <c r="AO35" i="30" s="1"/>
  <c r="AU48" i="31"/>
  <c r="AW48" i="31"/>
  <c r="Z43" i="31"/>
  <c r="AU39" i="31"/>
  <c r="Y49" i="31"/>
  <c r="S35" i="30" s="1"/>
  <c r="AV39" i="31"/>
  <c r="X38" i="31"/>
  <c r="R13" i="30" s="1"/>
  <c r="AW49" i="31"/>
  <c r="AQ35" i="30" s="1"/>
  <c r="AT49" i="31"/>
  <c r="AN35" i="30" s="1"/>
  <c r="C24" i="43"/>
  <c r="C13" i="43"/>
  <c r="I29" i="43"/>
  <c r="C29" i="43"/>
  <c r="AP34" i="30" l="1"/>
  <c r="AV51" i="31"/>
  <c r="AM34" i="30"/>
  <c r="AM37" i="30" s="1"/>
  <c r="AS51" i="31"/>
  <c r="AR34" i="30"/>
  <c r="AR37" i="30" s="1"/>
  <c r="AX51" i="31"/>
  <c r="AQ34" i="30"/>
  <c r="AQ37" i="30" s="1"/>
  <c r="AW51" i="31"/>
  <c r="AN34" i="30"/>
  <c r="AN37" i="30" s="1"/>
  <c r="AT51" i="31"/>
  <c r="AO34" i="30"/>
  <c r="AO37" i="30" s="1"/>
  <c r="AU51" i="31"/>
  <c r="AP37" i="30"/>
  <c r="O51" i="31"/>
  <c r="I13" i="30"/>
  <c r="C38" i="31"/>
  <c r="G38" i="31"/>
  <c r="T34" i="30"/>
  <c r="T37" i="30" s="1"/>
  <c r="Z51" i="31"/>
  <c r="AL37" i="30"/>
  <c r="AK37" i="30"/>
  <c r="J34" i="30"/>
  <c r="J37" i="30" s="1"/>
  <c r="P51" i="31"/>
  <c r="L34" i="30"/>
  <c r="L37" i="30" s="1"/>
  <c r="R51" i="31"/>
  <c r="U13" i="30"/>
  <c r="H38" i="31"/>
  <c r="D38" i="31"/>
  <c r="B36" i="30"/>
  <c r="R34" i="30"/>
  <c r="R37" i="30" s="1"/>
  <c r="X51" i="31"/>
  <c r="S34" i="30"/>
  <c r="S37" i="30" s="1"/>
  <c r="Y51" i="31"/>
  <c r="P34" i="30"/>
  <c r="P37" i="30" s="1"/>
  <c r="V51" i="31"/>
  <c r="O34" i="30"/>
  <c r="O37" i="30" s="1"/>
  <c r="U51" i="31"/>
  <c r="N34" i="30"/>
  <c r="N37" i="30" s="1"/>
  <c r="T51" i="31"/>
  <c r="V13" i="30"/>
  <c r="L38" i="31"/>
  <c r="M34" i="30"/>
  <c r="M37" i="30" s="1"/>
  <c r="S51" i="31"/>
  <c r="B35" i="30"/>
  <c r="Q34" i="30"/>
  <c r="Q37" i="30" s="1"/>
  <c r="W51" i="31"/>
  <c r="K34" i="30"/>
  <c r="K37" i="30" s="1"/>
  <c r="Q51" i="31"/>
  <c r="J13" i="30"/>
  <c r="K38" i="31"/>
  <c r="D8" i="33" l="1"/>
  <c r="G11" i="45" l="1"/>
  <c r="G10" i="45"/>
  <c r="G9" i="45"/>
  <c r="I10" i="45"/>
  <c r="I9" i="45"/>
  <c r="N26" i="30" l="1"/>
  <c r="N28" i="30" s="1"/>
  <c r="M26" i="30"/>
  <c r="M28" i="30" s="1"/>
  <c r="L26" i="30"/>
  <c r="L28" i="30" s="1"/>
  <c r="K26" i="30"/>
  <c r="K28" i="30" s="1"/>
  <c r="J26" i="30"/>
  <c r="J28" i="30" s="1"/>
  <c r="T9" i="30"/>
  <c r="R9" i="30"/>
  <c r="Q9" i="30"/>
  <c r="P9" i="30"/>
  <c r="N9" i="30"/>
  <c r="M9" i="30"/>
  <c r="I26" i="30"/>
  <c r="I28" i="30" s="1"/>
  <c r="U34" i="30"/>
  <c r="M55" i="31"/>
  <c r="M53" i="31"/>
  <c r="M32" i="31"/>
  <c r="M22" i="31"/>
  <c r="L55" i="31"/>
  <c r="L53" i="31"/>
  <c r="L51" i="31"/>
  <c r="L50" i="31"/>
  <c r="L49" i="31"/>
  <c r="L48" i="31"/>
  <c r="L32" i="31"/>
  <c r="L22" i="31"/>
  <c r="K55" i="31"/>
  <c r="K53" i="31"/>
  <c r="K51" i="31"/>
  <c r="K50" i="31"/>
  <c r="K39" i="31"/>
  <c r="K22" i="31"/>
  <c r="I55" i="31"/>
  <c r="I53" i="31"/>
  <c r="I32" i="31"/>
  <c r="I22" i="31"/>
  <c r="H53" i="31"/>
  <c r="H51" i="31"/>
  <c r="H50" i="31"/>
  <c r="H49" i="31"/>
  <c r="H48" i="31"/>
  <c r="H32" i="31"/>
  <c r="H22" i="31"/>
  <c r="G55" i="31"/>
  <c r="G53" i="31"/>
  <c r="G51" i="31"/>
  <c r="G50" i="31"/>
  <c r="G39" i="31"/>
  <c r="G22" i="31"/>
  <c r="E32" i="31"/>
  <c r="E22" i="31"/>
  <c r="D51" i="31"/>
  <c r="D50" i="31"/>
  <c r="D49" i="31"/>
  <c r="D48" i="31"/>
  <c r="D32" i="31"/>
  <c r="D22" i="31"/>
  <c r="C51" i="31"/>
  <c r="C50" i="31"/>
  <c r="C39" i="31"/>
  <c r="C22" i="31"/>
  <c r="C35" i="30" l="1"/>
  <c r="E89" i="33"/>
  <c r="E88" i="33"/>
  <c r="E87" i="33"/>
  <c r="E86" i="33"/>
  <c r="E85" i="33"/>
  <c r="E84" i="33"/>
  <c r="E82" i="33"/>
  <c r="E81" i="33"/>
  <c r="E80" i="33"/>
  <c r="E79" i="33"/>
  <c r="E78" i="33"/>
  <c r="E77" i="33"/>
  <c r="E75" i="33"/>
  <c r="E74" i="33"/>
  <c r="E73" i="33"/>
  <c r="E72" i="33"/>
  <c r="E71" i="33"/>
  <c r="E70" i="33"/>
  <c r="E68" i="33"/>
  <c r="E67" i="33"/>
  <c r="E66" i="33"/>
  <c r="E65" i="33"/>
  <c r="E64" i="33"/>
  <c r="E63" i="33"/>
  <c r="E61" i="33"/>
  <c r="E60" i="33"/>
  <c r="E59" i="33"/>
  <c r="E58" i="33"/>
  <c r="E57" i="33"/>
  <c r="E56" i="33"/>
  <c r="E54" i="33"/>
  <c r="E53" i="33"/>
  <c r="E52" i="33"/>
  <c r="E51" i="33"/>
  <c r="E50" i="33"/>
  <c r="E49" i="33"/>
  <c r="E47" i="33"/>
  <c r="E46" i="33"/>
  <c r="E45" i="33"/>
  <c r="E44" i="33"/>
  <c r="E43" i="33"/>
  <c r="E42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BI31" i="33" l="1"/>
  <c r="BC31" i="33"/>
  <c r="AU31" i="33" s="1"/>
  <c r="BJ31" i="33"/>
  <c r="AW31" i="33" s="1"/>
  <c r="BH31" i="33"/>
  <c r="BG31" i="33"/>
  <c r="BD31" i="33"/>
  <c r="AT31" i="33" s="1"/>
  <c r="BI36" i="33"/>
  <c r="BC36" i="33"/>
  <c r="AU36" i="33" s="1"/>
  <c r="BG36" i="33"/>
  <c r="BD36" i="33"/>
  <c r="AT36" i="33" s="1"/>
  <c r="BJ36" i="33"/>
  <c r="AW36" i="33" s="1"/>
  <c r="BH36" i="33"/>
  <c r="K36" i="33"/>
  <c r="H36" i="33"/>
  <c r="BI40" i="33"/>
  <c r="BC40" i="33"/>
  <c r="AU40" i="33" s="1"/>
  <c r="BJ40" i="33"/>
  <c r="AW40" i="33" s="1"/>
  <c r="BH40" i="33"/>
  <c r="BG40" i="33"/>
  <c r="BD40" i="33"/>
  <c r="AT40" i="33" s="1"/>
  <c r="K40" i="33"/>
  <c r="H40" i="33"/>
  <c r="BI45" i="33"/>
  <c r="BC45" i="33"/>
  <c r="AU45" i="33" s="1"/>
  <c r="BG45" i="33"/>
  <c r="BD45" i="33"/>
  <c r="AT45" i="33" s="1"/>
  <c r="BJ45" i="33"/>
  <c r="AW45" i="33" s="1"/>
  <c r="BH45" i="33"/>
  <c r="BI50" i="33"/>
  <c r="BC50" i="33"/>
  <c r="AU50" i="33" s="1"/>
  <c r="BJ50" i="33"/>
  <c r="AW50" i="33" s="1"/>
  <c r="BH50" i="33"/>
  <c r="BG50" i="33"/>
  <c r="BD50" i="33"/>
  <c r="AT50" i="33" s="1"/>
  <c r="K50" i="33"/>
  <c r="H50" i="33"/>
  <c r="BI54" i="33"/>
  <c r="BC54" i="33"/>
  <c r="AU54" i="33" s="1"/>
  <c r="BG54" i="33"/>
  <c r="BD54" i="33"/>
  <c r="AT54" i="33" s="1"/>
  <c r="BJ54" i="33"/>
  <c r="AW54" i="33" s="1"/>
  <c r="BH54" i="33"/>
  <c r="K54" i="33"/>
  <c r="H54" i="33"/>
  <c r="BI59" i="33"/>
  <c r="BC59" i="33"/>
  <c r="AU59" i="33" s="1"/>
  <c r="BJ59" i="33"/>
  <c r="AW59" i="33" s="1"/>
  <c r="BH59" i="33"/>
  <c r="BG59" i="33"/>
  <c r="BD59" i="33"/>
  <c r="AT59" i="33" s="1"/>
  <c r="BI64" i="33"/>
  <c r="BC64" i="33"/>
  <c r="AU64" i="33" s="1"/>
  <c r="BG64" i="33"/>
  <c r="BD64" i="33"/>
  <c r="AT64" i="33" s="1"/>
  <c r="BP64" i="33" s="1"/>
  <c r="BJ64" i="33"/>
  <c r="AW64" i="33" s="1"/>
  <c r="BH64" i="33"/>
  <c r="K64" i="33"/>
  <c r="H64" i="33"/>
  <c r="BI68" i="33"/>
  <c r="BC68" i="33"/>
  <c r="AU68" i="33" s="1"/>
  <c r="BJ68" i="33"/>
  <c r="AW68" i="33" s="1"/>
  <c r="BH68" i="33"/>
  <c r="BG68" i="33"/>
  <c r="BD68" i="33"/>
  <c r="K68" i="33"/>
  <c r="H68" i="33"/>
  <c r="P73" i="33"/>
  <c r="Z73" i="33" s="1"/>
  <c r="BI73" i="33"/>
  <c r="BC73" i="33"/>
  <c r="AU73" i="33" s="1"/>
  <c r="BG73" i="33"/>
  <c r="BD73" i="33"/>
  <c r="BJ73" i="33"/>
  <c r="AW73" i="33" s="1"/>
  <c r="BH73" i="33"/>
  <c r="BI78" i="33"/>
  <c r="BC78" i="33"/>
  <c r="AU78" i="33" s="1"/>
  <c r="BJ78" i="33"/>
  <c r="AW78" i="33" s="1"/>
  <c r="BH78" i="33"/>
  <c r="BG78" i="33"/>
  <c r="BD78" i="33"/>
  <c r="K78" i="33"/>
  <c r="H78" i="33"/>
  <c r="BI82" i="33"/>
  <c r="BC82" i="33"/>
  <c r="AU82" i="33" s="1"/>
  <c r="BG82" i="33"/>
  <c r="BD82" i="33"/>
  <c r="AT82" i="33" s="1"/>
  <c r="BJ82" i="33"/>
  <c r="AW82" i="33" s="1"/>
  <c r="BH82" i="33"/>
  <c r="K82" i="33"/>
  <c r="H82" i="33"/>
  <c r="BI87" i="33"/>
  <c r="BC87" i="33"/>
  <c r="AU87" i="33" s="1"/>
  <c r="BJ87" i="33"/>
  <c r="AW87" i="33" s="1"/>
  <c r="BH87" i="33"/>
  <c r="BG87" i="33"/>
  <c r="BD87" i="33"/>
  <c r="BG28" i="33"/>
  <c r="BD28" i="33"/>
  <c r="AT28" i="33" s="1"/>
  <c r="BJ28" i="33"/>
  <c r="AW28" i="33" s="1"/>
  <c r="BC28" i="33"/>
  <c r="AU28" i="33" s="1"/>
  <c r="BI28" i="33"/>
  <c r="BH28" i="33"/>
  <c r="K28" i="33"/>
  <c r="H28" i="33"/>
  <c r="BG32" i="33"/>
  <c r="BI32" i="33"/>
  <c r="BH32" i="33"/>
  <c r="BJ32" i="33"/>
  <c r="AW32" i="33" s="1"/>
  <c r="BD32" i="33"/>
  <c r="AT32" i="33" s="1"/>
  <c r="BC32" i="33"/>
  <c r="AU32" i="33" s="1"/>
  <c r="L32" i="33"/>
  <c r="K32" i="33"/>
  <c r="J32" i="33"/>
  <c r="I32" i="33"/>
  <c r="BG37" i="33"/>
  <c r="BD37" i="33"/>
  <c r="AT37" i="33" s="1"/>
  <c r="BJ37" i="33"/>
  <c r="AW37" i="33" s="1"/>
  <c r="BC37" i="33"/>
  <c r="AU37" i="33" s="1"/>
  <c r="BI37" i="33"/>
  <c r="BH37" i="33"/>
  <c r="K37" i="33"/>
  <c r="I37" i="33"/>
  <c r="J37" i="33"/>
  <c r="BG42" i="33"/>
  <c r="BI42" i="33"/>
  <c r="BH42" i="33"/>
  <c r="BD42" i="33"/>
  <c r="AT42" i="33" s="1"/>
  <c r="BC42" i="33"/>
  <c r="AU42" i="33" s="1"/>
  <c r="BJ42" i="33"/>
  <c r="AW42" i="33" s="1"/>
  <c r="K42" i="33"/>
  <c r="H42" i="33"/>
  <c r="BG46" i="33"/>
  <c r="BD46" i="33"/>
  <c r="AT46" i="33" s="1"/>
  <c r="BJ46" i="33"/>
  <c r="AW46" i="33" s="1"/>
  <c r="BC46" i="33"/>
  <c r="AU46" i="33" s="1"/>
  <c r="BI46" i="33"/>
  <c r="BH46" i="33"/>
  <c r="K46" i="33"/>
  <c r="J46" i="33"/>
  <c r="I46" i="33"/>
  <c r="BG51" i="33"/>
  <c r="BI51" i="33"/>
  <c r="BH51" i="33"/>
  <c r="BJ51" i="33"/>
  <c r="AW51" i="33" s="1"/>
  <c r="BD51" i="33"/>
  <c r="AT51" i="33" s="1"/>
  <c r="BC51" i="33"/>
  <c r="AU51" i="33" s="1"/>
  <c r="K51" i="33"/>
  <c r="J51" i="33"/>
  <c r="I51" i="33"/>
  <c r="BG56" i="33"/>
  <c r="BD56" i="33"/>
  <c r="BJ56" i="33"/>
  <c r="AW56" i="33" s="1"/>
  <c r="BC56" i="33"/>
  <c r="AU56" i="33" s="1"/>
  <c r="BI56" i="33"/>
  <c r="BH56" i="33"/>
  <c r="K56" i="33"/>
  <c r="H56" i="33"/>
  <c r="BG60" i="33"/>
  <c r="BI60" i="33"/>
  <c r="BH60" i="33"/>
  <c r="BD60" i="33"/>
  <c r="AT60" i="33" s="1"/>
  <c r="BP60" i="33" s="1"/>
  <c r="BC60" i="33"/>
  <c r="AU60" i="33" s="1"/>
  <c r="BJ60" i="33"/>
  <c r="K60" i="33"/>
  <c r="J60" i="33"/>
  <c r="I60" i="33"/>
  <c r="BG65" i="33"/>
  <c r="BD65" i="33"/>
  <c r="AT65" i="33" s="1"/>
  <c r="BP65" i="33" s="1"/>
  <c r="BJ65" i="33"/>
  <c r="AW65" i="33" s="1"/>
  <c r="BC65" i="33"/>
  <c r="AU65" i="33" s="1"/>
  <c r="BI65" i="33"/>
  <c r="BH65" i="33"/>
  <c r="K65" i="33"/>
  <c r="I65" i="33"/>
  <c r="J65" i="33"/>
  <c r="BG70" i="33"/>
  <c r="BI70" i="33"/>
  <c r="BH70" i="33"/>
  <c r="BJ70" i="33"/>
  <c r="AW70" i="33" s="1"/>
  <c r="BD70" i="33"/>
  <c r="AT70" i="33" s="1"/>
  <c r="BP70" i="33" s="1"/>
  <c r="BC70" i="33"/>
  <c r="AU70" i="33" s="1"/>
  <c r="K70" i="33"/>
  <c r="H70" i="33"/>
  <c r="BG74" i="33"/>
  <c r="BD74" i="33"/>
  <c r="AT74" i="33" s="1"/>
  <c r="BP74" i="33" s="1"/>
  <c r="BJ74" i="33"/>
  <c r="AW74" i="33" s="1"/>
  <c r="BC74" i="33"/>
  <c r="AU74" i="33" s="1"/>
  <c r="BI74" i="33"/>
  <c r="BH74" i="33"/>
  <c r="K74" i="33"/>
  <c r="L74" i="33"/>
  <c r="J74" i="33"/>
  <c r="I74" i="33"/>
  <c r="BG79" i="33"/>
  <c r="BI79" i="33"/>
  <c r="BH79" i="33"/>
  <c r="BD79" i="33"/>
  <c r="AT79" i="33" s="1"/>
  <c r="BP79" i="33" s="1"/>
  <c r="BC79" i="33"/>
  <c r="AU79" i="33" s="1"/>
  <c r="BJ79" i="33"/>
  <c r="AW79" i="33" s="1"/>
  <c r="L79" i="33"/>
  <c r="K79" i="33"/>
  <c r="J79" i="33"/>
  <c r="I79" i="33"/>
  <c r="BG84" i="33"/>
  <c r="BD84" i="33"/>
  <c r="AT84" i="33" s="1"/>
  <c r="BJ84" i="33"/>
  <c r="AW84" i="33" s="1"/>
  <c r="BC84" i="33"/>
  <c r="AU84" i="33" s="1"/>
  <c r="BI84" i="33"/>
  <c r="BH84" i="33"/>
  <c r="K84" i="33"/>
  <c r="H84" i="33"/>
  <c r="BG88" i="33"/>
  <c r="BI88" i="33"/>
  <c r="BH88" i="33"/>
  <c r="BJ88" i="33"/>
  <c r="AW88" i="33" s="1"/>
  <c r="BD88" i="33"/>
  <c r="AT88" i="33" s="1"/>
  <c r="BC88" i="33"/>
  <c r="AU88" i="33" s="1"/>
  <c r="L88" i="33"/>
  <c r="K88" i="33"/>
  <c r="J88" i="33"/>
  <c r="I88" i="33"/>
  <c r="BI29" i="33"/>
  <c r="BC29" i="33"/>
  <c r="AU29" i="33" s="1"/>
  <c r="BD29" i="33"/>
  <c r="AT29" i="33" s="1"/>
  <c r="BJ29" i="33"/>
  <c r="AW29" i="33" s="1"/>
  <c r="BH29" i="33"/>
  <c r="BG29" i="33"/>
  <c r="K29" i="33"/>
  <c r="H29" i="33"/>
  <c r="BI33" i="33"/>
  <c r="BC33" i="33"/>
  <c r="AU33" i="33" s="1"/>
  <c r="BH33" i="33"/>
  <c r="BG33" i="33"/>
  <c r="BD33" i="33"/>
  <c r="AT33" i="33" s="1"/>
  <c r="BJ33" i="33"/>
  <c r="AW33" i="33" s="1"/>
  <c r="K33" i="33"/>
  <c r="H33" i="33"/>
  <c r="BI38" i="33"/>
  <c r="BC38" i="33"/>
  <c r="AU38" i="33" s="1"/>
  <c r="BD38" i="33"/>
  <c r="AT38" i="33" s="1"/>
  <c r="BJ38" i="33"/>
  <c r="AW38" i="33" s="1"/>
  <c r="BH38" i="33"/>
  <c r="BG38" i="33"/>
  <c r="BI43" i="33"/>
  <c r="BC43" i="33"/>
  <c r="AU43" i="33" s="1"/>
  <c r="BH43" i="33"/>
  <c r="BG43" i="33"/>
  <c r="BJ43" i="33"/>
  <c r="AW43" i="33" s="1"/>
  <c r="BD43" i="33"/>
  <c r="AT43" i="33" s="1"/>
  <c r="K43" i="33"/>
  <c r="H43" i="33"/>
  <c r="BI47" i="33"/>
  <c r="BC47" i="33"/>
  <c r="AU47" i="33" s="1"/>
  <c r="BD47" i="33"/>
  <c r="AT47" i="33" s="1"/>
  <c r="BJ47" i="33"/>
  <c r="AW47" i="33" s="1"/>
  <c r="BH47" i="33"/>
  <c r="BG47" i="33"/>
  <c r="K47" i="33"/>
  <c r="H47" i="33"/>
  <c r="BI52" i="33"/>
  <c r="BC52" i="33"/>
  <c r="AU52" i="33" s="1"/>
  <c r="BH52" i="33"/>
  <c r="BG52" i="33"/>
  <c r="BD52" i="33"/>
  <c r="AT52" i="33" s="1"/>
  <c r="BJ52" i="33"/>
  <c r="AW52" i="33" s="1"/>
  <c r="BI57" i="33"/>
  <c r="BC57" i="33"/>
  <c r="AU57" i="33" s="1"/>
  <c r="BD57" i="33"/>
  <c r="AT57" i="33" s="1"/>
  <c r="BJ57" i="33"/>
  <c r="AW57" i="33" s="1"/>
  <c r="BH57" i="33"/>
  <c r="BG57" i="33"/>
  <c r="K57" i="33"/>
  <c r="H57" i="33"/>
  <c r="BI61" i="33"/>
  <c r="BC61" i="33"/>
  <c r="AU61" i="33" s="1"/>
  <c r="BH61" i="33"/>
  <c r="BG61" i="33"/>
  <c r="BJ61" i="33"/>
  <c r="AW61" i="33" s="1"/>
  <c r="BD61" i="33"/>
  <c r="AT61" i="33" s="1"/>
  <c r="K61" i="33"/>
  <c r="H61" i="33"/>
  <c r="BI66" i="33"/>
  <c r="BC66" i="33"/>
  <c r="AU66" i="33" s="1"/>
  <c r="BD66" i="33"/>
  <c r="BJ66" i="33"/>
  <c r="AW66" i="33" s="1"/>
  <c r="BH66" i="33"/>
  <c r="BG66" i="33"/>
  <c r="BI71" i="33"/>
  <c r="BC71" i="33"/>
  <c r="AU71" i="33" s="1"/>
  <c r="BH71" i="33"/>
  <c r="BG71" i="33"/>
  <c r="BD71" i="33"/>
  <c r="AT71" i="33" s="1"/>
  <c r="BJ71" i="33"/>
  <c r="AW71" i="33" s="1"/>
  <c r="K71" i="33"/>
  <c r="H71" i="33"/>
  <c r="N75" i="33"/>
  <c r="BI75" i="33"/>
  <c r="BC75" i="33"/>
  <c r="AU75" i="33" s="1"/>
  <c r="BD75" i="33"/>
  <c r="AT75" i="33" s="1"/>
  <c r="BJ75" i="33"/>
  <c r="AW75" i="33" s="1"/>
  <c r="BH75" i="33"/>
  <c r="BG75" i="33"/>
  <c r="K75" i="33"/>
  <c r="H75" i="33"/>
  <c r="BI80" i="33"/>
  <c r="BC80" i="33"/>
  <c r="AU80" i="33" s="1"/>
  <c r="BH80" i="33"/>
  <c r="BG80" i="33"/>
  <c r="BJ80" i="33"/>
  <c r="AW80" i="33" s="1"/>
  <c r="BD80" i="33"/>
  <c r="AT80" i="33" s="1"/>
  <c r="BI85" i="33"/>
  <c r="BC85" i="33"/>
  <c r="AU85" i="33" s="1"/>
  <c r="BD85" i="33"/>
  <c r="BJ85" i="33"/>
  <c r="AW85" i="33" s="1"/>
  <c r="BH85" i="33"/>
  <c r="BG85" i="33"/>
  <c r="K85" i="33"/>
  <c r="H85" i="33"/>
  <c r="BI89" i="33"/>
  <c r="BC89" i="33"/>
  <c r="AU89" i="33" s="1"/>
  <c r="BH89" i="33"/>
  <c r="BG89" i="33"/>
  <c r="BD89" i="33"/>
  <c r="AT89" i="33" s="1"/>
  <c r="BJ89" i="33"/>
  <c r="AW89" i="33" s="1"/>
  <c r="K89" i="33"/>
  <c r="H89" i="33"/>
  <c r="BG30" i="33"/>
  <c r="BJ30" i="33"/>
  <c r="AW30" i="33" s="1"/>
  <c r="BC30" i="33"/>
  <c r="AU30" i="33" s="1"/>
  <c r="BI30" i="33"/>
  <c r="BH30" i="33"/>
  <c r="BD30" i="33"/>
  <c r="AT30" i="33" s="1"/>
  <c r="K30" i="33"/>
  <c r="L30" i="33"/>
  <c r="J30" i="33"/>
  <c r="I30" i="33"/>
  <c r="BG35" i="33"/>
  <c r="BH35" i="33"/>
  <c r="BD35" i="33"/>
  <c r="AT35" i="33" s="1"/>
  <c r="BJ35" i="33"/>
  <c r="AW35" i="33" s="1"/>
  <c r="BI35" i="33"/>
  <c r="BC35" i="33"/>
  <c r="AU35" i="33" s="1"/>
  <c r="K35" i="33"/>
  <c r="H35" i="33"/>
  <c r="BG39" i="33"/>
  <c r="BJ39" i="33"/>
  <c r="AW39" i="33" s="1"/>
  <c r="BC39" i="33"/>
  <c r="AU39" i="33" s="1"/>
  <c r="BI39" i="33"/>
  <c r="BH39" i="33"/>
  <c r="BD39" i="33"/>
  <c r="AT39" i="33" s="1"/>
  <c r="K39" i="33"/>
  <c r="J39" i="33"/>
  <c r="I39" i="33"/>
  <c r="BG44" i="33"/>
  <c r="BH44" i="33"/>
  <c r="BD44" i="33"/>
  <c r="AT44" i="33" s="1"/>
  <c r="BC44" i="33"/>
  <c r="AU44" i="33" s="1"/>
  <c r="BJ44" i="33"/>
  <c r="AW44" i="33" s="1"/>
  <c r="BI44" i="33"/>
  <c r="K44" i="33"/>
  <c r="J44" i="33"/>
  <c r="I44" i="33"/>
  <c r="BG49" i="33"/>
  <c r="BJ49" i="33"/>
  <c r="AW49" i="33" s="1"/>
  <c r="BC49" i="33"/>
  <c r="AU49" i="33" s="1"/>
  <c r="BI49" i="33"/>
  <c r="BH49" i="33"/>
  <c r="BD49" i="33"/>
  <c r="K49" i="33"/>
  <c r="H49" i="33"/>
  <c r="BG53" i="33"/>
  <c r="BH53" i="33"/>
  <c r="BD53" i="33"/>
  <c r="AT53" i="33" s="1"/>
  <c r="BJ53" i="33"/>
  <c r="AW53" i="33" s="1"/>
  <c r="BI53" i="33"/>
  <c r="BC53" i="33"/>
  <c r="AU53" i="33" s="1"/>
  <c r="K53" i="33"/>
  <c r="I53" i="33"/>
  <c r="J53" i="33"/>
  <c r="BG58" i="33"/>
  <c r="BJ58" i="33"/>
  <c r="AW58" i="33" s="1"/>
  <c r="BC58" i="33"/>
  <c r="AU58" i="33" s="1"/>
  <c r="BI58" i="33"/>
  <c r="BH58" i="33"/>
  <c r="BD58" i="33"/>
  <c r="AT58" i="33" s="1"/>
  <c r="K58" i="33"/>
  <c r="J58" i="33"/>
  <c r="I58" i="33"/>
  <c r="BG63" i="33"/>
  <c r="BH63" i="33"/>
  <c r="BD63" i="33"/>
  <c r="BC63" i="33"/>
  <c r="AU63" i="33" s="1"/>
  <c r="BJ63" i="33"/>
  <c r="AW63" i="33" s="1"/>
  <c r="BI63" i="33"/>
  <c r="K63" i="33"/>
  <c r="H63" i="33"/>
  <c r="BG67" i="33"/>
  <c r="BJ67" i="33"/>
  <c r="AW67" i="33" s="1"/>
  <c r="BC67" i="33"/>
  <c r="AU67" i="33" s="1"/>
  <c r="BI67" i="33"/>
  <c r="BH67" i="33"/>
  <c r="BD67" i="33"/>
  <c r="AT67" i="33" s="1"/>
  <c r="K67" i="33"/>
  <c r="J67" i="33"/>
  <c r="I67" i="33"/>
  <c r="BG72" i="33"/>
  <c r="BH72" i="33"/>
  <c r="BD72" i="33"/>
  <c r="AT72" i="33" s="1"/>
  <c r="BJ72" i="33"/>
  <c r="AW72" i="33" s="1"/>
  <c r="BI72" i="33"/>
  <c r="BC72" i="33"/>
  <c r="AU72" i="33" s="1"/>
  <c r="L72" i="33"/>
  <c r="K72" i="33"/>
  <c r="J72" i="33"/>
  <c r="I72" i="33"/>
  <c r="G77" i="33"/>
  <c r="BG77" i="33"/>
  <c r="BJ77" i="33"/>
  <c r="AW77" i="33" s="1"/>
  <c r="BC77" i="33"/>
  <c r="AU77" i="33" s="1"/>
  <c r="BI77" i="33"/>
  <c r="BH77" i="33"/>
  <c r="BD77" i="33"/>
  <c r="AT77" i="33" s="1"/>
  <c r="K77" i="33"/>
  <c r="H77" i="33"/>
  <c r="BG81" i="33"/>
  <c r="BH81" i="33"/>
  <c r="BD81" i="33"/>
  <c r="AT81" i="33" s="1"/>
  <c r="BC81" i="33"/>
  <c r="AU81" i="33" s="1"/>
  <c r="BJ81" i="33"/>
  <c r="AW81" i="33" s="1"/>
  <c r="BI81" i="33"/>
  <c r="L81" i="33"/>
  <c r="K81" i="33"/>
  <c r="I81" i="33"/>
  <c r="J81" i="33"/>
  <c r="BG86" i="33"/>
  <c r="BJ86" i="33"/>
  <c r="AW86" i="33" s="1"/>
  <c r="BC86" i="33"/>
  <c r="AU86" i="33" s="1"/>
  <c r="BI86" i="33"/>
  <c r="BH86" i="33"/>
  <c r="BD86" i="33"/>
  <c r="AT86" i="33" s="1"/>
  <c r="BP86" i="33" s="1"/>
  <c r="K86" i="33"/>
  <c r="L86" i="33"/>
  <c r="J86" i="33"/>
  <c r="I86" i="33"/>
  <c r="BT54" i="86"/>
  <c r="T60" i="33"/>
  <c r="AW60" i="33"/>
  <c r="BT81" i="86"/>
  <c r="U82" i="33"/>
  <c r="AE82" i="33" s="1"/>
  <c r="BT88" i="86"/>
  <c r="BT35" i="86"/>
  <c r="BT43" i="86"/>
  <c r="BT47" i="86"/>
  <c r="BT51" i="86"/>
  <c r="BT59" i="86"/>
  <c r="BT63" i="86"/>
  <c r="BT67" i="86"/>
  <c r="S70" i="33"/>
  <c r="BT70" i="86"/>
  <c r="BT74" i="86"/>
  <c r="T74" i="33"/>
  <c r="F78" i="33"/>
  <c r="BT78" i="86"/>
  <c r="U80" i="33"/>
  <c r="AE80" i="33" s="1"/>
  <c r="BT82" i="86"/>
  <c r="Q82" i="33"/>
  <c r="AA82" i="33" s="1"/>
  <c r="U85" i="33"/>
  <c r="AE85" i="33" s="1"/>
  <c r="BT85" i="86"/>
  <c r="Q87" i="33"/>
  <c r="AA87" i="33" s="1"/>
  <c r="BT89" i="86"/>
  <c r="BT30" i="86"/>
  <c r="P65" i="33"/>
  <c r="BT66" i="86"/>
  <c r="BT73" i="86"/>
  <c r="G84" i="33"/>
  <c r="BT84" i="86"/>
  <c r="T89" i="33"/>
  <c r="BT28" i="86"/>
  <c r="BT40" i="86"/>
  <c r="BT44" i="86"/>
  <c r="U51" i="33"/>
  <c r="AE51" i="33" s="1"/>
  <c r="BT52" i="86"/>
  <c r="BT56" i="86"/>
  <c r="BT60" i="86"/>
  <c r="F61" i="33"/>
  <c r="P64" i="33"/>
  <c r="BT64" i="86"/>
  <c r="BT71" i="86"/>
  <c r="T73" i="33"/>
  <c r="BT75" i="86"/>
  <c r="BT79" i="86"/>
  <c r="P81" i="33"/>
  <c r="BT86" i="86"/>
  <c r="BT46" i="86"/>
  <c r="BT50" i="86"/>
  <c r="BT58" i="86"/>
  <c r="G66" i="33"/>
  <c r="BT31" i="86"/>
  <c r="BT32" i="86"/>
  <c r="BT29" i="86"/>
  <c r="BT33" i="86"/>
  <c r="BT37" i="86"/>
  <c r="BT45" i="86"/>
  <c r="BT53" i="86"/>
  <c r="N54" i="33"/>
  <c r="BT57" i="86"/>
  <c r="BT61" i="86"/>
  <c r="BT65" i="86"/>
  <c r="G68" i="33"/>
  <c r="BT72" i="86"/>
  <c r="F73" i="33"/>
  <c r="Q75" i="33"/>
  <c r="AA75" i="33" s="1"/>
  <c r="P77" i="33"/>
  <c r="BT77" i="86"/>
  <c r="BT80" i="86"/>
  <c r="T86" i="33"/>
  <c r="BT87" i="86"/>
  <c r="G78" i="33"/>
  <c r="S77" i="33"/>
  <c r="O86" i="33"/>
  <c r="P87" i="33"/>
  <c r="Z87" i="33" s="1"/>
  <c r="F86" i="33"/>
  <c r="F87" i="33"/>
  <c r="G75" i="33"/>
  <c r="F77" i="33"/>
  <c r="U79" i="33"/>
  <c r="AE79" i="33" s="1"/>
  <c r="F64" i="33"/>
  <c r="N74" i="33"/>
  <c r="F79" i="33"/>
  <c r="N61" i="33"/>
  <c r="P68" i="33"/>
  <c r="F70" i="33"/>
  <c r="U73" i="33"/>
  <c r="AE73" i="33" s="1"/>
  <c r="T75" i="33"/>
  <c r="N77" i="33"/>
  <c r="S78" i="33"/>
  <c r="P79" i="33"/>
  <c r="G80" i="33"/>
  <c r="F82" i="33"/>
  <c r="T82" i="33"/>
  <c r="S86" i="33"/>
  <c r="Q61" i="33"/>
  <c r="AA61" i="33" s="1"/>
  <c r="P70" i="33"/>
  <c r="Q80" i="33"/>
  <c r="AA80" i="33" s="1"/>
  <c r="N82" i="33"/>
  <c r="U87" i="33"/>
  <c r="AE87" i="33" s="1"/>
  <c r="P56" i="33"/>
  <c r="T65" i="33"/>
  <c r="S84" i="33"/>
  <c r="F56" i="33"/>
  <c r="T61" i="33"/>
  <c r="G63" i="33"/>
  <c r="T63" i="33"/>
  <c r="G64" i="33"/>
  <c r="T64" i="33"/>
  <c r="F65" i="33"/>
  <c r="G70" i="33"/>
  <c r="G73" i="33"/>
  <c r="Q73" i="33"/>
  <c r="AA73" i="33" s="1"/>
  <c r="P75" i="33"/>
  <c r="U75" i="33"/>
  <c r="AE75" i="33" s="1"/>
  <c r="N78" i="33"/>
  <c r="G79" i="33"/>
  <c r="T79" i="33"/>
  <c r="G82" i="33"/>
  <c r="P85" i="33"/>
  <c r="N86" i="33"/>
  <c r="N87" i="33"/>
  <c r="T87" i="33"/>
  <c r="F89" i="33"/>
  <c r="Q89" i="33"/>
  <c r="AA89" i="33" s="1"/>
  <c r="P89" i="33"/>
  <c r="U89" i="33"/>
  <c r="AE89" i="33" s="1"/>
  <c r="G56" i="33"/>
  <c r="T56" i="33"/>
  <c r="O63" i="33"/>
  <c r="N64" i="33"/>
  <c r="N65" i="33"/>
  <c r="N70" i="33"/>
  <c r="F75" i="33"/>
  <c r="O78" i="33"/>
  <c r="N80" i="33"/>
  <c r="T80" i="33"/>
  <c r="U81" i="33"/>
  <c r="AE81" i="33" s="1"/>
  <c r="O84" i="33"/>
  <c r="G89" i="33"/>
  <c r="Q36" i="33"/>
  <c r="S63" i="33"/>
  <c r="O56" i="33"/>
  <c r="O70" i="33"/>
  <c r="T70" i="33"/>
  <c r="N73" i="33"/>
  <c r="O77" i="33"/>
  <c r="T77" i="33"/>
  <c r="F80" i="33"/>
  <c r="P80" i="33"/>
  <c r="Z80" i="33" s="1"/>
  <c r="P82" i="33"/>
  <c r="F85" i="33"/>
  <c r="G87" i="33"/>
  <c r="N89" i="33"/>
  <c r="Q84" i="33"/>
  <c r="AA84" i="33" s="1"/>
  <c r="U84" i="33"/>
  <c r="AE84" i="33" s="1"/>
  <c r="N88" i="33"/>
  <c r="U88" i="33"/>
  <c r="AE88" i="33" s="1"/>
  <c r="F84" i="33"/>
  <c r="N84" i="33"/>
  <c r="Q85" i="33"/>
  <c r="AA85" i="33" s="1"/>
  <c r="U86" i="33"/>
  <c r="AE86" i="33" s="1"/>
  <c r="G86" i="33"/>
  <c r="P86" i="33"/>
  <c r="P88" i="33"/>
  <c r="S88" i="33"/>
  <c r="O88" i="33"/>
  <c r="F88" i="33"/>
  <c r="P84" i="33"/>
  <c r="T84" i="33"/>
  <c r="S85" i="33"/>
  <c r="O85" i="33"/>
  <c r="G85" i="33"/>
  <c r="N85" i="33"/>
  <c r="T85" i="33"/>
  <c r="T88" i="33"/>
  <c r="O87" i="33"/>
  <c r="S87" i="33"/>
  <c r="O89" i="33"/>
  <c r="S89" i="33"/>
  <c r="S81" i="33"/>
  <c r="O81" i="33"/>
  <c r="F81" i="33"/>
  <c r="T81" i="33"/>
  <c r="N81" i="33"/>
  <c r="Q78" i="33"/>
  <c r="AA78" i="33" s="1"/>
  <c r="U78" i="33"/>
  <c r="AE78" i="33" s="1"/>
  <c r="O79" i="33"/>
  <c r="S79" i="33"/>
  <c r="Q77" i="33"/>
  <c r="AA77" i="33" s="1"/>
  <c r="U77" i="33"/>
  <c r="AE77" i="33" s="1"/>
  <c r="P78" i="33"/>
  <c r="T78" i="33"/>
  <c r="N79" i="33"/>
  <c r="O80" i="33"/>
  <c r="S80" i="33"/>
  <c r="O82" i="33"/>
  <c r="S82" i="33"/>
  <c r="T71" i="33"/>
  <c r="P71" i="33"/>
  <c r="Q71" i="33"/>
  <c r="AA71" i="33" s="1"/>
  <c r="S71" i="33"/>
  <c r="O71" i="33"/>
  <c r="G71" i="33"/>
  <c r="U71" i="33"/>
  <c r="AE71" i="33" s="1"/>
  <c r="N71" i="33"/>
  <c r="F71" i="33"/>
  <c r="F72" i="33"/>
  <c r="P72" i="33"/>
  <c r="T72" i="33"/>
  <c r="S74" i="33"/>
  <c r="O74" i="33"/>
  <c r="F74" i="33"/>
  <c r="P74" i="33"/>
  <c r="U74" i="33"/>
  <c r="AE74" i="33" s="1"/>
  <c r="O72" i="33"/>
  <c r="S72" i="33"/>
  <c r="G72" i="33"/>
  <c r="U72" i="33"/>
  <c r="AE72" i="33" s="1"/>
  <c r="Q70" i="33"/>
  <c r="AA70" i="33" s="1"/>
  <c r="U70" i="33"/>
  <c r="AE70" i="33" s="1"/>
  <c r="N72" i="33"/>
  <c r="O73" i="33"/>
  <c r="S73" i="33"/>
  <c r="O75" i="33"/>
  <c r="S75" i="33"/>
  <c r="T59" i="33"/>
  <c r="T66" i="33"/>
  <c r="N66" i="33"/>
  <c r="F66" i="33"/>
  <c r="Q66" i="33"/>
  <c r="AA66" i="33" s="1"/>
  <c r="P66" i="33"/>
  <c r="Z66" i="33" s="1"/>
  <c r="T68" i="33"/>
  <c r="N68" i="33"/>
  <c r="Q68" i="33"/>
  <c r="AA68" i="33" s="1"/>
  <c r="F68" i="33"/>
  <c r="U68" i="33"/>
  <c r="AE68" i="33" s="1"/>
  <c r="U59" i="33"/>
  <c r="AE59" i="33" s="1"/>
  <c r="P59" i="33"/>
  <c r="Z59" i="33" s="1"/>
  <c r="G59" i="33"/>
  <c r="N59" i="33"/>
  <c r="N60" i="33"/>
  <c r="F59" i="33"/>
  <c r="Q59" i="33"/>
  <c r="AA59" i="33" s="1"/>
  <c r="U66" i="33"/>
  <c r="AE66" i="33" s="1"/>
  <c r="N56" i="33"/>
  <c r="S56" i="33"/>
  <c r="G61" i="33"/>
  <c r="P63" i="33"/>
  <c r="O64" i="33"/>
  <c r="P61" i="33"/>
  <c r="U61" i="33"/>
  <c r="AE61" i="33" s="1"/>
  <c r="S64" i="33"/>
  <c r="G65" i="33"/>
  <c r="U65" i="33"/>
  <c r="AE65" i="33" s="1"/>
  <c r="P67" i="33"/>
  <c r="U67" i="33"/>
  <c r="AE67" i="33" s="1"/>
  <c r="Q63" i="33"/>
  <c r="AA63" i="33" s="1"/>
  <c r="U63" i="33"/>
  <c r="AE63" i="33" s="1"/>
  <c r="S67" i="33"/>
  <c r="O67" i="33"/>
  <c r="F67" i="33"/>
  <c r="F63" i="33"/>
  <c r="N63" i="33"/>
  <c r="Q64" i="33"/>
  <c r="AA64" i="33" s="1"/>
  <c r="U64" i="33"/>
  <c r="AE64" i="33" s="1"/>
  <c r="O65" i="33"/>
  <c r="S65" i="33"/>
  <c r="N67" i="33"/>
  <c r="T67" i="33"/>
  <c r="O66" i="33"/>
  <c r="S66" i="33"/>
  <c r="O68" i="33"/>
  <c r="S68" i="33"/>
  <c r="F57" i="33"/>
  <c r="N57" i="33"/>
  <c r="F58" i="33"/>
  <c r="P58" i="33"/>
  <c r="T58" i="33"/>
  <c r="S60" i="33"/>
  <c r="O60" i="33"/>
  <c r="F60" i="33"/>
  <c r="P60" i="33"/>
  <c r="U60" i="33"/>
  <c r="AE60" i="33" s="1"/>
  <c r="G57" i="33"/>
  <c r="O57" i="33"/>
  <c r="S57" i="33"/>
  <c r="Q57" i="33"/>
  <c r="AA57" i="33" s="1"/>
  <c r="U57" i="33"/>
  <c r="AE57" i="33" s="1"/>
  <c r="O58" i="33"/>
  <c r="S58" i="33"/>
  <c r="G58" i="33"/>
  <c r="U58" i="33"/>
  <c r="AE58" i="33" s="1"/>
  <c r="Q56" i="33"/>
  <c r="AA56" i="33" s="1"/>
  <c r="U56" i="33"/>
  <c r="AE56" i="33" s="1"/>
  <c r="P57" i="33"/>
  <c r="T57" i="33"/>
  <c r="N58" i="33"/>
  <c r="O59" i="33"/>
  <c r="S59" i="33"/>
  <c r="O61" i="33"/>
  <c r="S61" i="33"/>
  <c r="U42" i="33"/>
  <c r="AE42" i="33" s="1"/>
  <c r="Q49" i="33"/>
  <c r="AA49" i="33" s="1"/>
  <c r="G42" i="33"/>
  <c r="S49" i="33"/>
  <c r="P52" i="33"/>
  <c r="Z52" i="33" s="1"/>
  <c r="O49" i="33"/>
  <c r="U49" i="33"/>
  <c r="AE49" i="33" s="1"/>
  <c r="T52" i="33"/>
  <c r="T40" i="33"/>
  <c r="O50" i="33"/>
  <c r="U29" i="33"/>
  <c r="AE29" i="33" s="1"/>
  <c r="N37" i="33"/>
  <c r="T51" i="33"/>
  <c r="P51" i="33"/>
  <c r="S51" i="33"/>
  <c r="O51" i="33"/>
  <c r="N51" i="33"/>
  <c r="F51" i="33"/>
  <c r="T37" i="33"/>
  <c r="F49" i="33"/>
  <c r="T49" i="33"/>
  <c r="P49" i="33"/>
  <c r="N49" i="33"/>
  <c r="G49" i="33"/>
  <c r="G51" i="33"/>
  <c r="F53" i="33"/>
  <c r="T53" i="33"/>
  <c r="P53" i="33"/>
  <c r="S53" i="33"/>
  <c r="O53" i="33"/>
  <c r="N53" i="33"/>
  <c r="U53" i="33"/>
  <c r="AE53" i="33" s="1"/>
  <c r="U50" i="33"/>
  <c r="AE50" i="33" s="1"/>
  <c r="G50" i="33"/>
  <c r="T50" i="33"/>
  <c r="P50" i="33"/>
  <c r="Q50" i="33"/>
  <c r="AA50" i="33" s="1"/>
  <c r="S50" i="33"/>
  <c r="N50" i="33"/>
  <c r="N42" i="33"/>
  <c r="G52" i="33"/>
  <c r="S52" i="33"/>
  <c r="O52" i="33"/>
  <c r="N52" i="33"/>
  <c r="G54" i="33"/>
  <c r="U54" i="33"/>
  <c r="AE54" i="33" s="1"/>
  <c r="Q54" i="33"/>
  <c r="AA54" i="33" s="1"/>
  <c r="T54" i="33"/>
  <c r="P54" i="33"/>
  <c r="U52" i="33"/>
  <c r="AE52" i="33" s="1"/>
  <c r="O54" i="33"/>
  <c r="Q52" i="33"/>
  <c r="AA52" i="33" s="1"/>
  <c r="S54" i="33"/>
  <c r="F50" i="33"/>
  <c r="F52" i="33"/>
  <c r="F54" i="33"/>
  <c r="G45" i="33"/>
  <c r="S45" i="33"/>
  <c r="N47" i="33"/>
  <c r="Q42" i="33"/>
  <c r="O47" i="33"/>
  <c r="G40" i="33"/>
  <c r="F42" i="33"/>
  <c r="S42" i="33"/>
  <c r="N45" i="33"/>
  <c r="S39" i="33"/>
  <c r="P28" i="33"/>
  <c r="F39" i="33"/>
  <c r="T43" i="33"/>
  <c r="N39" i="33"/>
  <c r="G43" i="33"/>
  <c r="G37" i="33"/>
  <c r="O42" i="33"/>
  <c r="O45" i="33"/>
  <c r="G47" i="33"/>
  <c r="S47" i="33"/>
  <c r="T44" i="33"/>
  <c r="P44" i="33"/>
  <c r="F44" i="33"/>
  <c r="N44" i="33"/>
  <c r="O44" i="33"/>
  <c r="S43" i="33"/>
  <c r="O43" i="33"/>
  <c r="U43" i="33"/>
  <c r="AE43" i="33" s="1"/>
  <c r="Q43" i="33"/>
  <c r="F43" i="33"/>
  <c r="P43" i="33"/>
  <c r="U44" i="33"/>
  <c r="AE44" i="33" s="1"/>
  <c r="G44" i="33"/>
  <c r="N46" i="33"/>
  <c r="U46" i="33"/>
  <c r="AE46" i="33" s="1"/>
  <c r="F46" i="33"/>
  <c r="T46" i="33"/>
  <c r="S46" i="33"/>
  <c r="O46" i="33"/>
  <c r="N43" i="33"/>
  <c r="S44" i="33"/>
  <c r="P46" i="33"/>
  <c r="P42" i="33"/>
  <c r="T42" i="33"/>
  <c r="P45" i="33"/>
  <c r="T45" i="33"/>
  <c r="P47" i="33"/>
  <c r="T47" i="33"/>
  <c r="F45" i="33"/>
  <c r="Q45" i="33"/>
  <c r="U45" i="33"/>
  <c r="AE45" i="33" s="1"/>
  <c r="F47" i="33"/>
  <c r="Q47" i="33"/>
  <c r="U47" i="33"/>
  <c r="AE47" i="33" s="1"/>
  <c r="U40" i="33"/>
  <c r="AE40" i="33" s="1"/>
  <c r="P29" i="33"/>
  <c r="U37" i="33"/>
  <c r="AE37" i="33" s="1"/>
  <c r="N40" i="33"/>
  <c r="N38" i="33"/>
  <c r="T38" i="33"/>
  <c r="G29" i="33"/>
  <c r="F37" i="33"/>
  <c r="G38" i="33"/>
  <c r="Q38" i="33"/>
  <c r="O39" i="33"/>
  <c r="U39" i="33"/>
  <c r="AE39" i="33" s="1"/>
  <c r="F40" i="33"/>
  <c r="O31" i="33"/>
  <c r="P37" i="33"/>
  <c r="F38" i="33"/>
  <c r="P38" i="33"/>
  <c r="U38" i="33"/>
  <c r="AE38" i="33" s="1"/>
  <c r="P40" i="33"/>
  <c r="U35" i="33"/>
  <c r="AE35" i="33" s="1"/>
  <c r="Q35" i="33"/>
  <c r="F35" i="33"/>
  <c r="N35" i="33"/>
  <c r="S35" i="33"/>
  <c r="G35" i="33"/>
  <c r="O35" i="33"/>
  <c r="T35" i="33"/>
  <c r="N36" i="33"/>
  <c r="G36" i="33"/>
  <c r="S36" i="33"/>
  <c r="P35" i="33"/>
  <c r="F36" i="33"/>
  <c r="O36" i="33"/>
  <c r="T36" i="33"/>
  <c r="P36" i="33"/>
  <c r="U36" i="33"/>
  <c r="AE36" i="33" s="1"/>
  <c r="S40" i="33"/>
  <c r="O40" i="33"/>
  <c r="O37" i="33"/>
  <c r="S37" i="33"/>
  <c r="S38" i="33"/>
  <c r="O38" i="33"/>
  <c r="Q40" i="33"/>
  <c r="P39" i="33"/>
  <c r="T39" i="33"/>
  <c r="N32" i="33"/>
  <c r="S30" i="33"/>
  <c r="S32" i="33"/>
  <c r="F32" i="33"/>
  <c r="S33" i="33"/>
  <c r="F31" i="33"/>
  <c r="T31" i="33"/>
  <c r="Q29" i="33"/>
  <c r="O32" i="33"/>
  <c r="U32" i="33"/>
  <c r="AE32" i="33" s="1"/>
  <c r="U28" i="33"/>
  <c r="AE28" i="33" s="1"/>
  <c r="Q28" i="33"/>
  <c r="F28" i="33"/>
  <c r="N28" i="33"/>
  <c r="S28" i="33"/>
  <c r="S29" i="33"/>
  <c r="O29" i="33"/>
  <c r="T30" i="33"/>
  <c r="P30" i="33"/>
  <c r="F30" i="33"/>
  <c r="U30" i="33"/>
  <c r="AE30" i="33" s="1"/>
  <c r="O30" i="33"/>
  <c r="N30" i="33"/>
  <c r="G28" i="33"/>
  <c r="O28" i="33"/>
  <c r="T28" i="33"/>
  <c r="F29" i="33"/>
  <c r="N29" i="33"/>
  <c r="T29" i="33"/>
  <c r="G30" i="33"/>
  <c r="N31" i="33"/>
  <c r="G31" i="33"/>
  <c r="U31" i="33"/>
  <c r="AE31" i="33" s="1"/>
  <c r="Q31" i="33"/>
  <c r="S31" i="33"/>
  <c r="P31" i="33"/>
  <c r="O33" i="33"/>
  <c r="T33" i="33"/>
  <c r="U33" i="33"/>
  <c r="AE33" i="33" s="1"/>
  <c r="Q33" i="33"/>
  <c r="F33" i="33"/>
  <c r="N33" i="33"/>
  <c r="G33" i="33"/>
  <c r="P33" i="33"/>
  <c r="P32" i="33"/>
  <c r="T32" i="33"/>
  <c r="W82" i="33" l="1"/>
  <c r="W77" i="33"/>
  <c r="Y67" i="33"/>
  <c r="W86" i="33"/>
  <c r="Y65" i="33"/>
  <c r="W70" i="33"/>
  <c r="Y88" i="33"/>
  <c r="Z54" i="33"/>
  <c r="Z61" i="33"/>
  <c r="Y51" i="33"/>
  <c r="Y53" i="33"/>
  <c r="Z51" i="33"/>
  <c r="W84" i="33"/>
  <c r="M107" i="33"/>
  <c r="N108" i="33" s="1"/>
  <c r="Y58" i="33"/>
  <c r="W68" i="33"/>
  <c r="W72" i="33"/>
  <c r="W79" i="33"/>
  <c r="Z75" i="33"/>
  <c r="Y86" i="33"/>
  <c r="W51" i="33"/>
  <c r="Z82" i="33"/>
  <c r="Z79" i="33"/>
  <c r="W58" i="33"/>
  <c r="W56" i="33"/>
  <c r="Z89" i="33"/>
  <c r="W54" i="33"/>
  <c r="W89" i="33"/>
  <c r="Y60" i="33"/>
  <c r="W75" i="33"/>
  <c r="Z58" i="33"/>
  <c r="Y81" i="33"/>
  <c r="W49" i="33"/>
  <c r="Z72" i="33"/>
  <c r="Z68" i="33"/>
  <c r="W63" i="33"/>
  <c r="Y72" i="33"/>
  <c r="Y74" i="33"/>
  <c r="Y79" i="33"/>
  <c r="Z86" i="33"/>
  <c r="W65" i="33"/>
  <c r="W61" i="33"/>
  <c r="Z65" i="33"/>
  <c r="AT78" i="33"/>
  <c r="BP78" i="33" s="1"/>
  <c r="AT56" i="33"/>
  <c r="BP56" i="33" s="1"/>
  <c r="AT66" i="33"/>
  <c r="BP66" i="33" s="1"/>
  <c r="AT87" i="33"/>
  <c r="BP87" i="33" s="1"/>
  <c r="AT85" i="33"/>
  <c r="BP85" i="33" s="1"/>
  <c r="AT49" i="33"/>
  <c r="BP49" i="33" s="1"/>
  <c r="AT73" i="33"/>
  <c r="BP73" i="33" s="1"/>
  <c r="AT68" i="33"/>
  <c r="BP68" i="33" s="1"/>
  <c r="AT63" i="33"/>
  <c r="BP63" i="33" s="1"/>
  <c r="BA70" i="33"/>
  <c r="BA77" i="33"/>
  <c r="BA80" i="33"/>
  <c r="BA82" i="33"/>
  <c r="BA89" i="33"/>
  <c r="BP77" i="33"/>
  <c r="BT36" i="86"/>
  <c r="Z70" i="33"/>
  <c r="Z77" i="33"/>
  <c r="BT49" i="86"/>
  <c r="BT68" i="86"/>
  <c r="BT38" i="86"/>
  <c r="BT39" i="86"/>
  <c r="BT42" i="86"/>
  <c r="W73" i="33"/>
  <c r="W66" i="33"/>
  <c r="W59" i="33"/>
  <c r="W64" i="33"/>
  <c r="Z64" i="33"/>
  <c r="Z63" i="33"/>
  <c r="Z56" i="33"/>
  <c r="W87" i="33"/>
  <c r="W85" i="33"/>
  <c r="BP52" i="33"/>
  <c r="BP71" i="33"/>
  <c r="BP88" i="33"/>
  <c r="BA85" i="33"/>
  <c r="BA86" i="33"/>
  <c r="BA88" i="33"/>
  <c r="BP89" i="33"/>
  <c r="BA84" i="33"/>
  <c r="BA79" i="33"/>
  <c r="W88" i="33"/>
  <c r="BA87" i="33"/>
  <c r="Z84" i="33"/>
  <c r="BP84" i="33"/>
  <c r="BA81" i="33"/>
  <c r="W78" i="33"/>
  <c r="BP82" i="33"/>
  <c r="BA78" i="33"/>
  <c r="W81" i="33"/>
  <c r="BP80" i="33"/>
  <c r="Z78" i="33"/>
  <c r="BP81" i="33"/>
  <c r="BP75" i="33"/>
  <c r="BA74" i="33"/>
  <c r="W74" i="33"/>
  <c r="BA75" i="33"/>
  <c r="BA72" i="33"/>
  <c r="BP72" i="33"/>
  <c r="BA73" i="33"/>
  <c r="BA71" i="33"/>
  <c r="BP59" i="33"/>
  <c r="BA64" i="33"/>
  <c r="BA56" i="33"/>
  <c r="BA65" i="33"/>
  <c r="BA63" i="33"/>
  <c r="BA66" i="33"/>
  <c r="BP57" i="33"/>
  <c r="BA68" i="33"/>
  <c r="BA58" i="33"/>
  <c r="W67" i="33"/>
  <c r="BA59" i="33"/>
  <c r="BP67" i="33"/>
  <c r="BA67" i="33"/>
  <c r="BA61" i="33"/>
  <c r="BP58" i="33"/>
  <c r="W60" i="33"/>
  <c r="BP61" i="33"/>
  <c r="BA57" i="33"/>
  <c r="BA60" i="33"/>
  <c r="BP53" i="33"/>
  <c r="BP54" i="33"/>
  <c r="BA51" i="33"/>
  <c r="BP51" i="33"/>
  <c r="BA52" i="33"/>
  <c r="BA50" i="33"/>
  <c r="BA53" i="33"/>
  <c r="BA54" i="33"/>
  <c r="BP50" i="33"/>
  <c r="BA49" i="33"/>
  <c r="BD62" i="86" l="1"/>
  <c r="Z85" i="33"/>
  <c r="W80" i="33"/>
  <c r="Z88" i="33"/>
  <c r="Z81" i="33"/>
  <c r="Z71" i="33"/>
  <c r="Z74" i="33"/>
  <c r="W71" i="33"/>
  <c r="Z67" i="33"/>
  <c r="Z60" i="33"/>
  <c r="Z57" i="33"/>
  <c r="W57" i="33"/>
  <c r="C11" i="43" l="1"/>
  <c r="BT23" i="86" l="1"/>
  <c r="I27" i="43"/>
  <c r="C27" i="43"/>
  <c r="G14" i="45" l="1"/>
  <c r="G13" i="45"/>
  <c r="G12" i="45"/>
  <c r="G15" i="45"/>
  <c r="G17" i="45"/>
  <c r="G16" i="45"/>
  <c r="G18" i="45"/>
  <c r="G26" i="45"/>
  <c r="G25" i="45"/>
  <c r="G24" i="45"/>
  <c r="G23" i="45"/>
  <c r="G22" i="45"/>
  <c r="G21" i="45"/>
  <c r="G20" i="45"/>
  <c r="G19" i="45"/>
  <c r="G27" i="45"/>
  <c r="G31" i="45"/>
  <c r="H39" i="31" l="1"/>
  <c r="V21" i="30" l="1"/>
  <c r="V22" i="30"/>
  <c r="H40" i="31"/>
  <c r="C8" i="33"/>
  <c r="C9" i="33" s="1"/>
  <c r="D14" i="33"/>
  <c r="D12" i="33"/>
  <c r="D11" i="33"/>
  <c r="D10" i="33"/>
  <c r="D9" i="33"/>
  <c r="V23" i="30" l="1"/>
  <c r="C10" i="33"/>
  <c r="C11" i="33" s="1"/>
  <c r="C12" i="33" s="1"/>
  <c r="AB45" i="31"/>
  <c r="W22" i="30"/>
  <c r="W21" i="30"/>
  <c r="D18" i="33"/>
  <c r="D21" i="33"/>
  <c r="D15" i="33"/>
  <c r="D19" i="33"/>
  <c r="D16" i="33"/>
  <c r="X22" i="30"/>
  <c r="D17" i="33"/>
  <c r="J55" i="43"/>
  <c r="J50" i="43"/>
  <c r="F46" i="43"/>
  <c r="F45" i="43"/>
  <c r="H53" i="43"/>
  <c r="H52" i="43"/>
  <c r="H51" i="43"/>
  <c r="I210" i="6" s="1"/>
  <c r="H49" i="43"/>
  <c r="H47" i="43"/>
  <c r="H46" i="43"/>
  <c r="W23" i="30" l="1"/>
  <c r="C14" i="33"/>
  <c r="C15" i="33" s="1"/>
  <c r="C16" i="33" s="1"/>
  <c r="D22" i="33"/>
  <c r="X21" i="30"/>
  <c r="X23" i="30" s="1"/>
  <c r="AC45" i="31"/>
  <c r="D26" i="33"/>
  <c r="D23" i="33"/>
  <c r="D25" i="33"/>
  <c r="D24" i="33"/>
  <c r="D28" i="33"/>
  <c r="H45" i="43"/>
  <c r="C17" i="33" l="1"/>
  <c r="C18" i="33" s="1"/>
  <c r="C19" i="33" s="1"/>
  <c r="AO28" i="86"/>
  <c r="AK28" i="86"/>
  <c r="AR28" i="86" s="1"/>
  <c r="AN28" i="86"/>
  <c r="AJ28" i="86"/>
  <c r="AI28" i="86"/>
  <c r="AP28" i="86"/>
  <c r="BA28" i="86" s="1"/>
  <c r="AM28" i="86"/>
  <c r="AT28" i="86" s="1"/>
  <c r="AH28" i="86"/>
  <c r="AL28" i="86"/>
  <c r="AS28" i="86" s="1"/>
  <c r="AN23" i="86"/>
  <c r="AJ23" i="86"/>
  <c r="AI23" i="86"/>
  <c r="AM23" i="86"/>
  <c r="AP23" i="86"/>
  <c r="BA23" i="86" s="1"/>
  <c r="AH23" i="86"/>
  <c r="AO23" i="86"/>
  <c r="AL23" i="86"/>
  <c r="AS23" i="86" s="1"/>
  <c r="AK23" i="86"/>
  <c r="AR23" i="86" s="1"/>
  <c r="D35" i="33"/>
  <c r="AD45" i="31"/>
  <c r="Y22" i="30"/>
  <c r="Y21" i="30"/>
  <c r="AA28" i="33"/>
  <c r="D33" i="33"/>
  <c r="D32" i="33"/>
  <c r="D31" i="33"/>
  <c r="D30" i="33"/>
  <c r="D29" i="33"/>
  <c r="Z22" i="30"/>
  <c r="Z21" i="30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G30" i="45"/>
  <c r="G29" i="45"/>
  <c r="G28" i="45"/>
  <c r="G34" i="45"/>
  <c r="G33" i="45"/>
  <c r="G32" i="45"/>
  <c r="Y23" i="30" l="1"/>
  <c r="BE11" i="86"/>
  <c r="Z23" i="30"/>
  <c r="C21" i="33"/>
  <c r="C22" i="33" s="1"/>
  <c r="AO30" i="86"/>
  <c r="AK30" i="86"/>
  <c r="AR30" i="86" s="1"/>
  <c r="AN30" i="86"/>
  <c r="AJ30" i="86"/>
  <c r="AI30" i="86"/>
  <c r="AP30" i="86"/>
  <c r="BA30" i="86" s="1"/>
  <c r="AL30" i="86"/>
  <c r="AS30" i="86" s="1"/>
  <c r="AH30" i="86"/>
  <c r="AM30" i="86"/>
  <c r="BS28" i="86"/>
  <c r="AO29" i="86"/>
  <c r="AK29" i="86"/>
  <c r="AR29" i="86" s="1"/>
  <c r="AN29" i="86"/>
  <c r="AJ29" i="86"/>
  <c r="AI29" i="86"/>
  <c r="AP29" i="86"/>
  <c r="BA29" i="86" s="1"/>
  <c r="AH29" i="86"/>
  <c r="AM29" i="86"/>
  <c r="AT29" i="86" s="1"/>
  <c r="AL29" i="86"/>
  <c r="AS29" i="86" s="1"/>
  <c r="AP33" i="86"/>
  <c r="BA33" i="86" s="1"/>
  <c r="AL33" i="86"/>
  <c r="AS33" i="86" s="1"/>
  <c r="AH33" i="86"/>
  <c r="AO33" i="86"/>
  <c r="AK33" i="86"/>
  <c r="AR33" i="86" s="1"/>
  <c r="AM33" i="86"/>
  <c r="AT33" i="86" s="1"/>
  <c r="AJ33" i="86"/>
  <c r="AI33" i="86"/>
  <c r="AN33" i="86"/>
  <c r="AM35" i="86"/>
  <c r="AT35" i="86" s="1"/>
  <c r="AI35" i="86"/>
  <c r="AP35" i="86"/>
  <c r="BA35" i="86" s="1"/>
  <c r="AL35" i="86"/>
  <c r="AS35" i="86" s="1"/>
  <c r="AH35" i="86"/>
  <c r="AJ35" i="86"/>
  <c r="AN35" i="86"/>
  <c r="AK35" i="86"/>
  <c r="AR35" i="86" s="1"/>
  <c r="AO35" i="86"/>
  <c r="AQ23" i="86"/>
  <c r="AQ28" i="86"/>
  <c r="AO32" i="86"/>
  <c r="AK32" i="86"/>
  <c r="AR32" i="86" s="1"/>
  <c r="AN32" i="86"/>
  <c r="AJ32" i="86"/>
  <c r="AI32" i="86"/>
  <c r="AP32" i="86"/>
  <c r="BA32" i="86" s="1"/>
  <c r="AH32" i="86"/>
  <c r="AL32" i="86"/>
  <c r="AS32" i="86" s="1"/>
  <c r="AM32" i="86"/>
  <c r="AT32" i="86" s="1"/>
  <c r="AO31" i="86"/>
  <c r="AK31" i="86"/>
  <c r="AR31" i="86" s="1"/>
  <c r="AN31" i="86"/>
  <c r="AJ31" i="86"/>
  <c r="AI31" i="86"/>
  <c r="AP31" i="86"/>
  <c r="BA31" i="86" s="1"/>
  <c r="AH31" i="86"/>
  <c r="AM31" i="86"/>
  <c r="AT31" i="86" s="1"/>
  <c r="AL31" i="86"/>
  <c r="AS31" i="86" s="1"/>
  <c r="BP29" i="33"/>
  <c r="BP31" i="33"/>
  <c r="BP28" i="33"/>
  <c r="BP32" i="33"/>
  <c r="D39" i="33"/>
  <c r="D38" i="33"/>
  <c r="D36" i="33"/>
  <c r="D40" i="33"/>
  <c r="D42" i="33"/>
  <c r="D37" i="33"/>
  <c r="BP35" i="33"/>
  <c r="Z35" i="33"/>
  <c r="AA35" i="33"/>
  <c r="AB35" i="33"/>
  <c r="AE45" i="31"/>
  <c r="AQ51" i="31"/>
  <c r="D39" i="31"/>
  <c r="L39" i="31"/>
  <c r="AA33" i="33"/>
  <c r="Z28" i="33"/>
  <c r="AB28" i="33"/>
  <c r="AA29" i="33"/>
  <c r="AF28" i="33"/>
  <c r="W28" i="33"/>
  <c r="AA31" i="33"/>
  <c r="AF45" i="31"/>
  <c r="BE18" i="86" l="1"/>
  <c r="C23" i="33"/>
  <c r="C24" i="33" s="1"/>
  <c r="C25" i="33" s="1"/>
  <c r="C26" i="33" s="1"/>
  <c r="C28" i="33" s="1"/>
  <c r="C29" i="33" s="1"/>
  <c r="BS29" i="86"/>
  <c r="AQ32" i="86"/>
  <c r="AQ35" i="86"/>
  <c r="BR35" i="86" s="1"/>
  <c r="AQ31" i="86"/>
  <c r="BC31" i="86" s="1"/>
  <c r="BA31" i="33"/>
  <c r="BS33" i="86"/>
  <c r="AN40" i="86"/>
  <c r="AJ40" i="86"/>
  <c r="AM40" i="86"/>
  <c r="AT40" i="86" s="1"/>
  <c r="AI40" i="86"/>
  <c r="AL40" i="86"/>
  <c r="AS40" i="86" s="1"/>
  <c r="AP40" i="86"/>
  <c r="BA40" i="86" s="1"/>
  <c r="AK40" i="86"/>
  <c r="AR40" i="86" s="1"/>
  <c r="AH40" i="86"/>
  <c r="AO40" i="86"/>
  <c r="AM38" i="86"/>
  <c r="AT38" i="86" s="1"/>
  <c r="AI38" i="86"/>
  <c r="AP38" i="86"/>
  <c r="BA38" i="86" s="1"/>
  <c r="AL38" i="86"/>
  <c r="AS38" i="86" s="1"/>
  <c r="AH38" i="86"/>
  <c r="AO38" i="86"/>
  <c r="AK38" i="86"/>
  <c r="AR38" i="86" s="1"/>
  <c r="AJ38" i="86"/>
  <c r="AN38" i="86"/>
  <c r="BC28" i="86"/>
  <c r="BR28" i="86"/>
  <c r="AQ29" i="86"/>
  <c r="AO42" i="86"/>
  <c r="AK42" i="86"/>
  <c r="AR42" i="86" s="1"/>
  <c r="AN42" i="86"/>
  <c r="AJ42" i="86"/>
  <c r="AM42" i="86"/>
  <c r="AT42" i="86" s="1"/>
  <c r="AP42" i="86"/>
  <c r="BA42" i="86" s="1"/>
  <c r="AL42" i="86"/>
  <c r="AS42" i="86" s="1"/>
  <c r="AI42" i="86"/>
  <c r="AH42" i="86"/>
  <c r="BR23" i="86"/>
  <c r="AM39" i="86"/>
  <c r="AT39" i="86" s="1"/>
  <c r="AI39" i="86"/>
  <c r="AP39" i="86"/>
  <c r="BA39" i="86" s="1"/>
  <c r="AL39" i="86"/>
  <c r="AS39" i="86" s="1"/>
  <c r="AH39" i="86"/>
  <c r="AJ39" i="86"/>
  <c r="AO39" i="86"/>
  <c r="AN39" i="86"/>
  <c r="AK39" i="86"/>
  <c r="AR39" i="86" s="1"/>
  <c r="AM37" i="86"/>
  <c r="AI37" i="86"/>
  <c r="AP37" i="86"/>
  <c r="BA37" i="86" s="1"/>
  <c r="AL37" i="86"/>
  <c r="AS37" i="86" s="1"/>
  <c r="AH37" i="86"/>
  <c r="AN37" i="86"/>
  <c r="AK37" i="86"/>
  <c r="AR37" i="86" s="1"/>
  <c r="AJ37" i="86"/>
  <c r="AO37" i="86"/>
  <c r="AM36" i="86"/>
  <c r="AT36" i="86" s="1"/>
  <c r="AI36" i="86"/>
  <c r="AP36" i="86"/>
  <c r="BA36" i="86" s="1"/>
  <c r="AL36" i="86"/>
  <c r="AS36" i="86" s="1"/>
  <c r="AH36" i="86"/>
  <c r="AK36" i="86"/>
  <c r="AR36" i="86" s="1"/>
  <c r="AJ36" i="86"/>
  <c r="AN36" i="86"/>
  <c r="AO36" i="86"/>
  <c r="BS35" i="86"/>
  <c r="AQ33" i="86"/>
  <c r="AQ30" i="86"/>
  <c r="BP37" i="33"/>
  <c r="Z37" i="33"/>
  <c r="AB37" i="33"/>
  <c r="BP40" i="33"/>
  <c r="Z40" i="33"/>
  <c r="AA40" i="33"/>
  <c r="AF35" i="33"/>
  <c r="W35" i="33"/>
  <c r="AA36" i="33"/>
  <c r="AB36" i="33"/>
  <c r="Z36" i="33"/>
  <c r="BP36" i="33"/>
  <c r="BP39" i="33"/>
  <c r="Z39" i="33"/>
  <c r="D47" i="33"/>
  <c r="D44" i="33"/>
  <c r="D46" i="33"/>
  <c r="D45" i="33"/>
  <c r="D43" i="33"/>
  <c r="BP42" i="33"/>
  <c r="AA42" i="33"/>
  <c r="Z42" i="33"/>
  <c r="Z38" i="33"/>
  <c r="AA38" i="33"/>
  <c r="BP30" i="33"/>
  <c r="BP33" i="33"/>
  <c r="D40" i="31"/>
  <c r="L40" i="31"/>
  <c r="AR51" i="31"/>
  <c r="Z33" i="33"/>
  <c r="AB33" i="33"/>
  <c r="AF33" i="33"/>
  <c r="W33" i="33"/>
  <c r="Z31" i="33"/>
  <c r="AB31" i="33"/>
  <c r="AF29" i="33"/>
  <c r="W29" i="33"/>
  <c r="AB29" i="33"/>
  <c r="Z29" i="33"/>
  <c r="Z32" i="33"/>
  <c r="AB32" i="33"/>
  <c r="Z30" i="33"/>
  <c r="AB30" i="33"/>
  <c r="AF31" i="33"/>
  <c r="W31" i="33"/>
  <c r="D49" i="33"/>
  <c r="BC32" i="86" l="1"/>
  <c r="BE32" i="86" s="1"/>
  <c r="BE31" i="86"/>
  <c r="C30" i="33"/>
  <c r="C31" i="33" s="1"/>
  <c r="C32" i="33" s="1"/>
  <c r="C33" i="33" s="1"/>
  <c r="C35" i="33" s="1"/>
  <c r="C36" i="33" s="1"/>
  <c r="BC35" i="86"/>
  <c r="AQ43" i="31" s="1"/>
  <c r="BR32" i="86"/>
  <c r="BS42" i="86"/>
  <c r="AQ42" i="86"/>
  <c r="BC42" i="86" s="1"/>
  <c r="AR43" i="31" s="1"/>
  <c r="BS40" i="86"/>
  <c r="AQ37" i="86"/>
  <c r="BR31" i="86"/>
  <c r="AN43" i="86"/>
  <c r="AJ43" i="86"/>
  <c r="AL43" i="86"/>
  <c r="AS43" i="86" s="1"/>
  <c r="AP43" i="86"/>
  <c r="BA43" i="86" s="1"/>
  <c r="AK43" i="86"/>
  <c r="AR43" i="86" s="1"/>
  <c r="AO43" i="86"/>
  <c r="AI43" i="86"/>
  <c r="AM43" i="86"/>
  <c r="AT43" i="86" s="1"/>
  <c r="AH43" i="86"/>
  <c r="BC33" i="86"/>
  <c r="BR33" i="86"/>
  <c r="BS36" i="86"/>
  <c r="AQ39" i="86"/>
  <c r="AQ38" i="86"/>
  <c r="AN46" i="86"/>
  <c r="AJ46" i="86"/>
  <c r="AP46" i="86"/>
  <c r="BA46" i="86" s="1"/>
  <c r="AK46" i="86"/>
  <c r="AR46" i="86" s="1"/>
  <c r="AO46" i="86"/>
  <c r="AI46" i="86"/>
  <c r="AM46" i="86"/>
  <c r="AT46" i="86" s="1"/>
  <c r="AH46" i="86"/>
  <c r="AL46" i="86"/>
  <c r="AS46" i="86" s="1"/>
  <c r="AN45" i="86"/>
  <c r="AJ45" i="86"/>
  <c r="AM45" i="86"/>
  <c r="AT45" i="86" s="1"/>
  <c r="AH45" i="86"/>
  <c r="AL45" i="86"/>
  <c r="AS45" i="86" s="1"/>
  <c r="AP45" i="86"/>
  <c r="BA45" i="86" s="1"/>
  <c r="AK45" i="86"/>
  <c r="AR45" i="86" s="1"/>
  <c r="AI45" i="86"/>
  <c r="AO45" i="86"/>
  <c r="BR30" i="86"/>
  <c r="AQ36" i="86"/>
  <c r="AQ40" i="86"/>
  <c r="AO49" i="86"/>
  <c r="AK49" i="86"/>
  <c r="AR49" i="86" s="1"/>
  <c r="AL49" i="86"/>
  <c r="AS49" i="86" s="1"/>
  <c r="AP49" i="86"/>
  <c r="BA49" i="86" s="1"/>
  <c r="AJ49" i="86"/>
  <c r="AN49" i="86"/>
  <c r="AI49" i="86"/>
  <c r="AM49" i="86"/>
  <c r="AT49" i="86" s="1"/>
  <c r="AH49" i="86"/>
  <c r="AO47" i="86"/>
  <c r="AK47" i="86"/>
  <c r="AR47" i="86" s="1"/>
  <c r="AN47" i="86"/>
  <c r="AI47" i="86"/>
  <c r="AM47" i="86"/>
  <c r="AT47" i="86" s="1"/>
  <c r="AH47" i="86"/>
  <c r="AL47" i="86"/>
  <c r="AS47" i="86" s="1"/>
  <c r="AP47" i="86"/>
  <c r="BA47" i="86" s="1"/>
  <c r="AJ47" i="86"/>
  <c r="AN44" i="86"/>
  <c r="AJ44" i="86"/>
  <c r="AP44" i="86"/>
  <c r="BA44" i="86" s="1"/>
  <c r="AO44" i="86"/>
  <c r="AI44" i="86"/>
  <c r="AM44" i="86"/>
  <c r="AH44" i="86"/>
  <c r="AK44" i="86"/>
  <c r="AR44" i="86" s="1"/>
  <c r="AL44" i="86"/>
  <c r="AS44" i="86" s="1"/>
  <c r="BC29" i="86"/>
  <c r="BR29" i="86"/>
  <c r="BE28" i="86"/>
  <c r="BP28" i="86"/>
  <c r="W40" i="33"/>
  <c r="AF40" i="33"/>
  <c r="W38" i="33"/>
  <c r="AF38" i="33"/>
  <c r="BP38" i="33"/>
  <c r="AB42" i="33"/>
  <c r="AA43" i="33"/>
  <c r="Z43" i="33"/>
  <c r="AB46" i="33"/>
  <c r="Z46" i="33"/>
  <c r="W36" i="33"/>
  <c r="AF36" i="33"/>
  <c r="AF49" i="33"/>
  <c r="AF42" i="33"/>
  <c r="W42" i="33"/>
  <c r="AB40" i="33"/>
  <c r="AB45" i="33"/>
  <c r="AA45" i="33"/>
  <c r="Z45" i="33"/>
  <c r="Z47" i="33"/>
  <c r="AA47" i="33"/>
  <c r="BP47" i="33"/>
  <c r="BA38" i="33"/>
  <c r="AB38" i="33"/>
  <c r="BP44" i="33"/>
  <c r="Z44" i="33"/>
  <c r="AB39" i="33"/>
  <c r="D52" i="33"/>
  <c r="D54" i="33"/>
  <c r="D56" i="33"/>
  <c r="D51" i="33"/>
  <c r="D53" i="33"/>
  <c r="D50" i="33"/>
  <c r="AL21" i="30" l="1"/>
  <c r="BP35" i="86"/>
  <c r="AQ47" i="86"/>
  <c r="BC47" i="86" s="1"/>
  <c r="AR28" i="31" s="1"/>
  <c r="C37" i="33"/>
  <c r="BE35" i="86"/>
  <c r="BR42" i="86"/>
  <c r="BR37" i="86"/>
  <c r="BS49" i="86"/>
  <c r="AQ45" i="86"/>
  <c r="BR45" i="86" s="1"/>
  <c r="AO53" i="86"/>
  <c r="AK53" i="86"/>
  <c r="AR53" i="86" s="1"/>
  <c r="AL53" i="86"/>
  <c r="AS53" i="86" s="1"/>
  <c r="AP53" i="86"/>
  <c r="BA53" i="86" s="1"/>
  <c r="AJ53" i="86"/>
  <c r="AN53" i="86"/>
  <c r="AI53" i="86"/>
  <c r="AM53" i="86"/>
  <c r="AT53" i="86" s="1"/>
  <c r="AH53" i="86"/>
  <c r="BE29" i="86"/>
  <c r="BP29" i="86"/>
  <c r="BE42" i="86"/>
  <c r="BP42" i="86"/>
  <c r="BC40" i="86"/>
  <c r="AQ28" i="31" s="1"/>
  <c r="BR40" i="86"/>
  <c r="AQ46" i="86"/>
  <c r="BC38" i="86"/>
  <c r="BR38" i="86"/>
  <c r="BS43" i="86"/>
  <c r="AQ43" i="86"/>
  <c r="AO50" i="86"/>
  <c r="AK50" i="86"/>
  <c r="AR50" i="86" s="1"/>
  <c r="AN50" i="86"/>
  <c r="AI50" i="86"/>
  <c r="AM50" i="86"/>
  <c r="AT50" i="86" s="1"/>
  <c r="AH50" i="86"/>
  <c r="AL50" i="86"/>
  <c r="AS50" i="86" s="1"/>
  <c r="AP50" i="86"/>
  <c r="BA50" i="86" s="1"/>
  <c r="AJ50" i="86"/>
  <c r="AP54" i="86"/>
  <c r="BA54" i="86" s="1"/>
  <c r="AL54" i="86"/>
  <c r="AS54" i="86" s="1"/>
  <c r="AH54" i="86"/>
  <c r="AK54" i="86"/>
  <c r="AR54" i="86" s="1"/>
  <c r="AO54" i="86"/>
  <c r="AJ54" i="86"/>
  <c r="AN54" i="86"/>
  <c r="AI54" i="86"/>
  <c r="AM54" i="86"/>
  <c r="AT54" i="86" s="1"/>
  <c r="BS47" i="86"/>
  <c r="BC36" i="86"/>
  <c r="AQ44" i="31" s="1"/>
  <c r="BR36" i="86"/>
  <c r="BE33" i="86"/>
  <c r="BP33" i="86"/>
  <c r="BC39" i="86"/>
  <c r="BR39" i="86"/>
  <c r="AO52" i="86"/>
  <c r="AK52" i="86"/>
  <c r="AR52" i="86" s="1"/>
  <c r="AN52" i="86"/>
  <c r="AI52" i="86"/>
  <c r="AM52" i="86"/>
  <c r="AT52" i="86" s="1"/>
  <c r="AH52" i="86"/>
  <c r="AL52" i="86"/>
  <c r="AS52" i="86" s="1"/>
  <c r="AP52" i="86"/>
  <c r="BA52" i="86" s="1"/>
  <c r="AJ52" i="86"/>
  <c r="AO51" i="86"/>
  <c r="AK51" i="86"/>
  <c r="AR51" i="86" s="1"/>
  <c r="AL51" i="86"/>
  <c r="AS51" i="86" s="1"/>
  <c r="AP51" i="86"/>
  <c r="BA51" i="86" s="1"/>
  <c r="AJ51" i="86"/>
  <c r="AN51" i="86"/>
  <c r="AI51" i="86"/>
  <c r="AH51" i="86"/>
  <c r="AM51" i="86"/>
  <c r="AM56" i="86"/>
  <c r="AT56" i="86" s="1"/>
  <c r="AI56" i="86"/>
  <c r="AP56" i="86"/>
  <c r="BA56" i="86" s="1"/>
  <c r="AK56" i="86"/>
  <c r="AR56" i="86" s="1"/>
  <c r="AO56" i="86"/>
  <c r="AJ56" i="86"/>
  <c r="AN56" i="86"/>
  <c r="AH56" i="86"/>
  <c r="AL56" i="86"/>
  <c r="AS56" i="86" s="1"/>
  <c r="AQ44" i="86"/>
  <c r="AQ49" i="86"/>
  <c r="BP45" i="33"/>
  <c r="AF56" i="33"/>
  <c r="AB56" i="33"/>
  <c r="AF45" i="33"/>
  <c r="W45" i="33"/>
  <c r="AB43" i="33"/>
  <c r="AB47" i="33"/>
  <c r="AF43" i="33"/>
  <c r="W43" i="33"/>
  <c r="AB44" i="33"/>
  <c r="W47" i="33"/>
  <c r="AF47" i="33"/>
  <c r="BA45" i="33"/>
  <c r="BP46" i="33"/>
  <c r="BP43" i="33"/>
  <c r="AF51" i="33"/>
  <c r="AB51" i="33"/>
  <c r="AB52" i="33"/>
  <c r="AF53" i="33"/>
  <c r="AB54" i="33"/>
  <c r="AF54" i="33"/>
  <c r="D60" i="33"/>
  <c r="D63" i="33"/>
  <c r="D61" i="33"/>
  <c r="D58" i="33"/>
  <c r="D57" i="33"/>
  <c r="D59" i="33"/>
  <c r="C38" i="33" l="1"/>
  <c r="C39" i="33" s="1"/>
  <c r="C40" i="33" s="1"/>
  <c r="C42" i="33" s="1"/>
  <c r="C43" i="33" s="1"/>
  <c r="BE39" i="86"/>
  <c r="AK22" i="30"/>
  <c r="AK26" i="30"/>
  <c r="AK28" i="30" s="1"/>
  <c r="AL26" i="30"/>
  <c r="AL28" i="30" s="1"/>
  <c r="AK21" i="30"/>
  <c r="BE38" i="86"/>
  <c r="AQ40" i="31"/>
  <c r="BR47" i="86"/>
  <c r="BC45" i="86"/>
  <c r="AQ54" i="86"/>
  <c r="BC54" i="86" s="1"/>
  <c r="AS28" i="31" s="1"/>
  <c r="BS54" i="86"/>
  <c r="BS56" i="86"/>
  <c r="AQ56" i="86"/>
  <c r="BC56" i="86" s="1"/>
  <c r="AT43" i="31" s="1"/>
  <c r="AQ50" i="86"/>
  <c r="BR50" i="86" s="1"/>
  <c r="AO59" i="86"/>
  <c r="AK59" i="86"/>
  <c r="AR59" i="86" s="1"/>
  <c r="AL59" i="86"/>
  <c r="AS59" i="86" s="1"/>
  <c r="AP59" i="86"/>
  <c r="BA59" i="86" s="1"/>
  <c r="AJ59" i="86"/>
  <c r="AN59" i="86"/>
  <c r="AI59" i="86"/>
  <c r="AM59" i="86"/>
  <c r="AT59" i="86" s="1"/>
  <c r="AH59" i="86"/>
  <c r="BC46" i="86"/>
  <c r="BE46" i="86" s="1"/>
  <c r="BR46" i="86"/>
  <c r="AP61" i="86"/>
  <c r="BA61" i="86" s="1"/>
  <c r="AL61" i="86"/>
  <c r="AS61" i="86" s="1"/>
  <c r="AH61" i="86"/>
  <c r="AN61" i="86"/>
  <c r="AI61" i="86"/>
  <c r="AM61" i="86"/>
  <c r="AT61" i="86" s="1"/>
  <c r="AK61" i="86"/>
  <c r="AR61" i="86" s="1"/>
  <c r="AO61" i="86"/>
  <c r="AJ61" i="86"/>
  <c r="AP57" i="86"/>
  <c r="BA57" i="86" s="1"/>
  <c r="AL57" i="86"/>
  <c r="AS57" i="86" s="1"/>
  <c r="AH57" i="86"/>
  <c r="AM57" i="86"/>
  <c r="AT57" i="86" s="1"/>
  <c r="AK57" i="86"/>
  <c r="AR57" i="86" s="1"/>
  <c r="AO57" i="86"/>
  <c r="AJ57" i="86"/>
  <c r="AN57" i="86"/>
  <c r="AI57" i="86"/>
  <c r="BR44" i="86"/>
  <c r="AQ51" i="86"/>
  <c r="BC43" i="86"/>
  <c r="AR44" i="31" s="1"/>
  <c r="BR43" i="86"/>
  <c r="AQ53" i="86"/>
  <c r="AO58" i="86"/>
  <c r="AK58" i="86"/>
  <c r="AR58" i="86" s="1"/>
  <c r="AN58" i="86"/>
  <c r="AI58" i="86"/>
  <c r="AM58" i="86"/>
  <c r="AH58" i="86"/>
  <c r="AL58" i="86"/>
  <c r="AS58" i="86" s="1"/>
  <c r="AJ58" i="86"/>
  <c r="AP58" i="86"/>
  <c r="BA58" i="86" s="1"/>
  <c r="AO60" i="86"/>
  <c r="AK60" i="86"/>
  <c r="AR60" i="86" s="1"/>
  <c r="AN60" i="86"/>
  <c r="AI60" i="86"/>
  <c r="AM60" i="86"/>
  <c r="AT60" i="86" s="1"/>
  <c r="AH60" i="86"/>
  <c r="AL60" i="86"/>
  <c r="AS60" i="86" s="1"/>
  <c r="AP60" i="86"/>
  <c r="BA60" i="86" s="1"/>
  <c r="AJ60" i="86"/>
  <c r="AP63" i="86"/>
  <c r="BA63" i="86" s="1"/>
  <c r="AL63" i="86"/>
  <c r="AS63" i="86" s="1"/>
  <c r="AH63" i="86"/>
  <c r="AM63" i="86"/>
  <c r="AT63" i="86" s="1"/>
  <c r="AK63" i="86"/>
  <c r="AR63" i="86" s="1"/>
  <c r="AO63" i="86"/>
  <c r="AJ63" i="86"/>
  <c r="AN63" i="86"/>
  <c r="AI63" i="86"/>
  <c r="BC49" i="86"/>
  <c r="AS43" i="31" s="1"/>
  <c r="BR49" i="86"/>
  <c r="AQ52" i="86"/>
  <c r="BS50" i="86"/>
  <c r="BE47" i="86"/>
  <c r="BP47" i="86"/>
  <c r="BE36" i="86"/>
  <c r="BP36" i="86"/>
  <c r="BE40" i="86"/>
  <c r="BP40" i="86"/>
  <c r="AF57" i="33"/>
  <c r="AB57" i="33"/>
  <c r="AF63" i="33"/>
  <c r="AB63" i="33"/>
  <c r="AB59" i="33"/>
  <c r="AF59" i="33"/>
  <c r="AB60" i="33"/>
  <c r="AF60" i="33"/>
  <c r="AB58" i="33"/>
  <c r="AF58" i="33"/>
  <c r="AB61" i="33"/>
  <c r="AF61" i="33"/>
  <c r="D70" i="33"/>
  <c r="D64" i="33"/>
  <c r="D65" i="33"/>
  <c r="D66" i="33"/>
  <c r="D68" i="33"/>
  <c r="D67" i="33"/>
  <c r="AQ61" i="86" l="1"/>
  <c r="BR61" i="86" s="1"/>
  <c r="AK23" i="30"/>
  <c r="AN21" i="30"/>
  <c r="AK18" i="30"/>
  <c r="AM21" i="30"/>
  <c r="AL22" i="30"/>
  <c r="AL23" i="30" s="1"/>
  <c r="AM26" i="30"/>
  <c r="AM28" i="30" s="1"/>
  <c r="BE45" i="86"/>
  <c r="AR40" i="31"/>
  <c r="C44" i="33"/>
  <c r="BR54" i="86"/>
  <c r="BR56" i="86"/>
  <c r="BC50" i="86"/>
  <c r="BS63" i="86"/>
  <c r="AQ60" i="86"/>
  <c r="BC60" i="86" s="1"/>
  <c r="BE60" i="86" s="1"/>
  <c r="AQ58" i="86"/>
  <c r="AQ57" i="86"/>
  <c r="BC57" i="86" s="1"/>
  <c r="AT44" i="31" s="1"/>
  <c r="AQ59" i="86"/>
  <c r="BC59" i="86" s="1"/>
  <c r="BE49" i="86"/>
  <c r="BP49" i="86"/>
  <c r="BC53" i="86"/>
  <c r="BE53" i="86" s="1"/>
  <c r="BR53" i="86"/>
  <c r="BE43" i="86"/>
  <c r="BP43" i="86"/>
  <c r="BE54" i="86"/>
  <c r="BP54" i="86"/>
  <c r="AP65" i="86"/>
  <c r="BA65" i="86" s="1"/>
  <c r="AL65" i="86"/>
  <c r="AS65" i="86" s="1"/>
  <c r="AH65" i="86"/>
  <c r="AO65" i="86"/>
  <c r="AK65" i="86"/>
  <c r="AR65" i="86" s="1"/>
  <c r="AJ65" i="86"/>
  <c r="AI65" i="86"/>
  <c r="AN65" i="86"/>
  <c r="AM65" i="86"/>
  <c r="AM68" i="86"/>
  <c r="AT68" i="86" s="1"/>
  <c r="AI68" i="86"/>
  <c r="AP68" i="86"/>
  <c r="BA68" i="86" s="1"/>
  <c r="AL68" i="86"/>
  <c r="AS68" i="86" s="1"/>
  <c r="AH68" i="86"/>
  <c r="AK68" i="86"/>
  <c r="AR68" i="86" s="1"/>
  <c r="AJ68" i="86"/>
  <c r="AO68" i="86"/>
  <c r="AN68" i="86"/>
  <c r="AP64" i="86"/>
  <c r="BA64" i="86" s="1"/>
  <c r="AL64" i="86"/>
  <c r="AS64" i="86" s="1"/>
  <c r="AH64" i="86"/>
  <c r="AK64" i="86"/>
  <c r="AR64" i="86" s="1"/>
  <c r="AO64" i="86"/>
  <c r="AJ64" i="86"/>
  <c r="AN64" i="86"/>
  <c r="AI64" i="86"/>
  <c r="AM64" i="86"/>
  <c r="AT64" i="86" s="1"/>
  <c r="BR51" i="86"/>
  <c r="BS57" i="86"/>
  <c r="BS61" i="86"/>
  <c r="BE56" i="86"/>
  <c r="BP56" i="86"/>
  <c r="AP67" i="86"/>
  <c r="BA67" i="86" s="1"/>
  <c r="AL67" i="86"/>
  <c r="AS67" i="86" s="1"/>
  <c r="AH67" i="86"/>
  <c r="AO67" i="86"/>
  <c r="AK67" i="86"/>
  <c r="AR67" i="86" s="1"/>
  <c r="AN67" i="86"/>
  <c r="AM67" i="86"/>
  <c r="AT67" i="86" s="1"/>
  <c r="AJ67" i="86"/>
  <c r="AI67" i="86"/>
  <c r="AP66" i="86"/>
  <c r="BA66" i="86" s="1"/>
  <c r="AL66" i="86"/>
  <c r="AS66" i="86" s="1"/>
  <c r="AH66" i="86"/>
  <c r="AO66" i="86"/>
  <c r="AK66" i="86"/>
  <c r="AR66" i="86" s="1"/>
  <c r="AM66" i="86"/>
  <c r="AT66" i="86" s="1"/>
  <c r="AJ66" i="86"/>
  <c r="AI66" i="86"/>
  <c r="AN66" i="86"/>
  <c r="AM70" i="86"/>
  <c r="AT70" i="86" s="1"/>
  <c r="AI70" i="86"/>
  <c r="AP70" i="86"/>
  <c r="BA70" i="86" s="1"/>
  <c r="AL70" i="86"/>
  <c r="AS70" i="86" s="1"/>
  <c r="AH70" i="86"/>
  <c r="AN70" i="86"/>
  <c r="AK70" i="86"/>
  <c r="AR70" i="86" s="1"/>
  <c r="AJ70" i="86"/>
  <c r="AO70" i="86"/>
  <c r="BC52" i="86"/>
  <c r="BR52" i="86"/>
  <c r="AQ63" i="86"/>
  <c r="AF64" i="33"/>
  <c r="AB64" i="33"/>
  <c r="AF70" i="33"/>
  <c r="AB70" i="33"/>
  <c r="AB67" i="33"/>
  <c r="AF67" i="33"/>
  <c r="AF68" i="33"/>
  <c r="AB68" i="33"/>
  <c r="AF66" i="33"/>
  <c r="AB66" i="33"/>
  <c r="AF65" i="33"/>
  <c r="AB65" i="33"/>
  <c r="D75" i="33"/>
  <c r="D77" i="33"/>
  <c r="D74" i="33"/>
  <c r="D72" i="33"/>
  <c r="D73" i="33"/>
  <c r="D71" i="33"/>
  <c r="BC61" i="86" l="1"/>
  <c r="AT28" i="31" s="1"/>
  <c r="AN26" i="30" s="1"/>
  <c r="AN28" i="30" s="1"/>
  <c r="C45" i="33"/>
  <c r="C46" i="33" s="1"/>
  <c r="C47" i="33" s="1"/>
  <c r="C49" i="33" s="1"/>
  <c r="C50" i="33" s="1"/>
  <c r="C51" i="33" s="1"/>
  <c r="C52" i="33" s="1"/>
  <c r="C53" i="33" s="1"/>
  <c r="C54" i="33" s="1"/>
  <c r="C56" i="33" s="1"/>
  <c r="C57" i="33" s="1"/>
  <c r="C58" i="33" s="1"/>
  <c r="C59" i="33" s="1"/>
  <c r="C60" i="33" s="1"/>
  <c r="C61" i="33" s="1"/>
  <c r="AN22" i="30"/>
  <c r="AN23" i="30" s="1"/>
  <c r="AL18" i="30"/>
  <c r="AQ65" i="86"/>
  <c r="BE50" i="86"/>
  <c r="AS44" i="31"/>
  <c r="BE59" i="86"/>
  <c r="AT40" i="31"/>
  <c r="BE52" i="86"/>
  <c r="AS40" i="31"/>
  <c r="BS70" i="86"/>
  <c r="AQ70" i="86"/>
  <c r="BC70" i="86" s="1"/>
  <c r="AV43" i="31" s="1"/>
  <c r="BP50" i="86"/>
  <c r="AQ64" i="86"/>
  <c r="BC64" i="86" s="1"/>
  <c r="AU44" i="31" s="1"/>
  <c r="BR58" i="86"/>
  <c r="BR57" i="86"/>
  <c r="AQ67" i="86"/>
  <c r="BR67" i="86" s="1"/>
  <c r="BR60" i="86"/>
  <c r="BR59" i="86"/>
  <c r="BC63" i="86"/>
  <c r="AU43" i="31" s="1"/>
  <c r="BR63" i="86"/>
  <c r="AM71" i="86"/>
  <c r="AT71" i="86" s="1"/>
  <c r="AI71" i="86"/>
  <c r="AP71" i="86"/>
  <c r="BA71" i="86" s="1"/>
  <c r="AL71" i="86"/>
  <c r="AS71" i="86" s="1"/>
  <c r="AH71" i="86"/>
  <c r="AO71" i="86"/>
  <c r="AN71" i="86"/>
  <c r="AK71" i="86"/>
  <c r="AR71" i="86" s="1"/>
  <c r="AJ71" i="86"/>
  <c r="AM72" i="86"/>
  <c r="AI72" i="86"/>
  <c r="AP72" i="86"/>
  <c r="BA72" i="86" s="1"/>
  <c r="AL72" i="86"/>
  <c r="AS72" i="86" s="1"/>
  <c r="AH72" i="86"/>
  <c r="AJ72" i="86"/>
  <c r="AO72" i="86"/>
  <c r="AN72" i="86"/>
  <c r="AK72" i="86"/>
  <c r="AR72" i="86" s="1"/>
  <c r="BE57" i="86"/>
  <c r="BP57" i="86"/>
  <c r="AN75" i="86"/>
  <c r="AJ75" i="86"/>
  <c r="AM75" i="86"/>
  <c r="AT75" i="86" s="1"/>
  <c r="AI75" i="86"/>
  <c r="AP75" i="86"/>
  <c r="BA75" i="86" s="1"/>
  <c r="AH75" i="86"/>
  <c r="AO75" i="86"/>
  <c r="AL75" i="86"/>
  <c r="AS75" i="86" s="1"/>
  <c r="AK75" i="86"/>
  <c r="AR75" i="86" s="1"/>
  <c r="AM74" i="86"/>
  <c r="AT74" i="86" s="1"/>
  <c r="AI74" i="86"/>
  <c r="AP74" i="86"/>
  <c r="BA74" i="86" s="1"/>
  <c r="AL74" i="86"/>
  <c r="AS74" i="86" s="1"/>
  <c r="AH74" i="86"/>
  <c r="AN74" i="86"/>
  <c r="AK74" i="86"/>
  <c r="AR74" i="86" s="1"/>
  <c r="AJ74" i="86"/>
  <c r="AO74" i="86"/>
  <c r="AO77" i="86"/>
  <c r="AK77" i="86"/>
  <c r="AR77" i="86" s="1"/>
  <c r="AN77" i="86"/>
  <c r="AJ77" i="86"/>
  <c r="AI77" i="86"/>
  <c r="AP77" i="86"/>
  <c r="BA77" i="86" s="1"/>
  <c r="AH77" i="86"/>
  <c r="AM77" i="86"/>
  <c r="AT77" i="86" s="1"/>
  <c r="AL77" i="86"/>
  <c r="AS77" i="86" s="1"/>
  <c r="AM73" i="86"/>
  <c r="AT73" i="86" s="1"/>
  <c r="AI73" i="86"/>
  <c r="AP73" i="86"/>
  <c r="BA73" i="86" s="1"/>
  <c r="AL73" i="86"/>
  <c r="AS73" i="86" s="1"/>
  <c r="AH73" i="86"/>
  <c r="AK73" i="86"/>
  <c r="AR73" i="86" s="1"/>
  <c r="AJ73" i="86"/>
  <c r="AO73" i="86"/>
  <c r="AN73" i="86"/>
  <c r="AQ66" i="86"/>
  <c r="BS64" i="86"/>
  <c r="AQ68" i="86"/>
  <c r="BS68" i="86"/>
  <c r="AF72" i="33"/>
  <c r="AB72" i="33"/>
  <c r="AF75" i="33"/>
  <c r="AB75" i="33"/>
  <c r="AF77" i="33"/>
  <c r="AB77" i="33"/>
  <c r="AF71" i="33"/>
  <c r="AB71" i="33"/>
  <c r="AF73" i="33"/>
  <c r="AB73" i="33"/>
  <c r="AF74" i="33"/>
  <c r="AB74" i="33"/>
  <c r="BA37" i="33"/>
  <c r="BA40" i="33"/>
  <c r="BA33" i="33"/>
  <c r="BA29" i="33"/>
  <c r="BA35" i="33"/>
  <c r="BA28" i="33"/>
  <c r="BA43" i="33"/>
  <c r="BA47" i="33"/>
  <c r="BA36" i="33"/>
  <c r="BA30" i="33"/>
  <c r="BA46" i="33"/>
  <c r="BA39" i="33"/>
  <c r="BA42" i="33"/>
  <c r="BA44" i="33"/>
  <c r="BA32" i="33"/>
  <c r="D81" i="33"/>
  <c r="D84" i="33"/>
  <c r="D79" i="33"/>
  <c r="D78" i="33"/>
  <c r="D80" i="33"/>
  <c r="D82" i="33"/>
  <c r="BP61" i="86" l="1"/>
  <c r="BE61" i="86"/>
  <c r="AO22" i="30"/>
  <c r="AO21" i="30"/>
  <c r="AN18" i="30"/>
  <c r="AP21" i="30"/>
  <c r="AM18" i="30"/>
  <c r="AM22" i="30"/>
  <c r="AM23" i="30" s="1"/>
  <c r="BR65" i="86"/>
  <c r="BC67" i="86"/>
  <c r="BE67" i="86" s="1"/>
  <c r="C63" i="33"/>
  <c r="C64" i="33" s="1"/>
  <c r="BR70" i="86"/>
  <c r="AQ74" i="86"/>
  <c r="BR74" i="86" s="1"/>
  <c r="BR64" i="86"/>
  <c r="BS71" i="86"/>
  <c r="BS75" i="86"/>
  <c r="AQ75" i="86"/>
  <c r="BC75" i="86" s="1"/>
  <c r="AV28" i="31" s="1"/>
  <c r="BC66" i="86"/>
  <c r="BR66" i="86"/>
  <c r="AQ77" i="86"/>
  <c r="BE63" i="86"/>
  <c r="BP63" i="86"/>
  <c r="AP82" i="86"/>
  <c r="BA82" i="86" s="1"/>
  <c r="AL82" i="86"/>
  <c r="AS82" i="86" s="1"/>
  <c r="AH82" i="86"/>
  <c r="AO82" i="86"/>
  <c r="AK82" i="86"/>
  <c r="AR82" i="86" s="1"/>
  <c r="AM82" i="86"/>
  <c r="AT82" i="86" s="1"/>
  <c r="AJ82" i="86"/>
  <c r="AI82" i="86"/>
  <c r="AN82" i="86"/>
  <c r="AP84" i="86"/>
  <c r="BA84" i="86" s="1"/>
  <c r="AL84" i="86"/>
  <c r="AS84" i="86" s="1"/>
  <c r="AH84" i="86"/>
  <c r="AO84" i="86"/>
  <c r="AK84" i="86"/>
  <c r="AR84" i="86" s="1"/>
  <c r="AN84" i="86"/>
  <c r="AM84" i="86"/>
  <c r="AT84" i="86" s="1"/>
  <c r="AJ84" i="86"/>
  <c r="AI84" i="86"/>
  <c r="BS77" i="86"/>
  <c r="AO80" i="86"/>
  <c r="AK80" i="86"/>
  <c r="AR80" i="86" s="1"/>
  <c r="AN80" i="86"/>
  <c r="AJ80" i="86"/>
  <c r="AI80" i="86"/>
  <c r="AP80" i="86"/>
  <c r="BA80" i="86" s="1"/>
  <c r="AH80" i="86"/>
  <c r="AM80" i="86"/>
  <c r="AT80" i="86" s="1"/>
  <c r="AL80" i="86"/>
  <c r="AS80" i="86" s="1"/>
  <c r="AQ71" i="86"/>
  <c r="AO79" i="86"/>
  <c r="AK79" i="86"/>
  <c r="AR79" i="86" s="1"/>
  <c r="AN79" i="86"/>
  <c r="AJ79" i="86"/>
  <c r="AI79" i="86"/>
  <c r="AP79" i="86"/>
  <c r="BA79" i="86" s="1"/>
  <c r="AH79" i="86"/>
  <c r="AM79" i="86"/>
  <c r="AL79" i="86"/>
  <c r="AS79" i="86" s="1"/>
  <c r="AO81" i="86"/>
  <c r="AK81" i="86"/>
  <c r="AR81" i="86" s="1"/>
  <c r="AN81" i="86"/>
  <c r="AJ81" i="86"/>
  <c r="AI81" i="86"/>
  <c r="AP81" i="86"/>
  <c r="BA81" i="86" s="1"/>
  <c r="AH81" i="86"/>
  <c r="AM81" i="86"/>
  <c r="AT81" i="86" s="1"/>
  <c r="AL81" i="86"/>
  <c r="AS81" i="86" s="1"/>
  <c r="AO78" i="86"/>
  <c r="AK78" i="86"/>
  <c r="AR78" i="86" s="1"/>
  <c r="AN78" i="86"/>
  <c r="AJ78" i="86"/>
  <c r="AI78" i="86"/>
  <c r="AP78" i="86"/>
  <c r="BA78" i="86" s="1"/>
  <c r="AH78" i="86"/>
  <c r="AM78" i="86"/>
  <c r="AT78" i="86" s="1"/>
  <c r="AL78" i="86"/>
  <c r="AS78" i="86" s="1"/>
  <c r="BC68" i="86"/>
  <c r="AU28" i="31" s="1"/>
  <c r="BR68" i="86"/>
  <c r="AQ73" i="86"/>
  <c r="BE64" i="86"/>
  <c r="BP64" i="86"/>
  <c r="BE70" i="86"/>
  <c r="BP70" i="86"/>
  <c r="AQ72" i="86"/>
  <c r="AB82" i="33"/>
  <c r="AF82" i="33"/>
  <c r="AF80" i="33"/>
  <c r="AB80" i="33"/>
  <c r="AF78" i="33"/>
  <c r="AB78" i="33"/>
  <c r="AB79" i="33"/>
  <c r="AF79" i="33"/>
  <c r="AF84" i="33"/>
  <c r="AB84" i="33"/>
  <c r="AB81" i="33"/>
  <c r="AF81" i="33"/>
  <c r="D87" i="33"/>
  <c r="AO87" i="33" s="1"/>
  <c r="D85" i="33"/>
  <c r="D86" i="33"/>
  <c r="D89" i="33"/>
  <c r="D88" i="33"/>
  <c r="F30" i="5"/>
  <c r="F29" i="5"/>
  <c r="AK18" i="31" l="1"/>
  <c r="AE17" i="30" s="1"/>
  <c r="AJ18" i="31"/>
  <c r="AD17" i="30" s="1"/>
  <c r="AH18" i="31"/>
  <c r="AB17" i="30" s="1"/>
  <c r="AI18" i="31"/>
  <c r="AC17" i="30" s="1"/>
  <c r="AE18" i="31"/>
  <c r="Y17" i="30" s="1"/>
  <c r="AF18" i="31"/>
  <c r="Z17" i="30" s="1"/>
  <c r="AG18" i="31"/>
  <c r="AA17" i="30" s="1"/>
  <c r="AL18" i="31"/>
  <c r="AF17" i="30" s="1"/>
  <c r="AJ11" i="31"/>
  <c r="AD30" i="30" s="1"/>
  <c r="AD31" i="30" s="1"/>
  <c r="AI11" i="31"/>
  <c r="AC30" i="30" s="1"/>
  <c r="AC31" i="30" s="1"/>
  <c r="AG11" i="31"/>
  <c r="AA30" i="30" s="1"/>
  <c r="AA31" i="30" s="1"/>
  <c r="AH11" i="31"/>
  <c r="AB30" i="30" s="1"/>
  <c r="AB31" i="30" s="1"/>
  <c r="AK11" i="31"/>
  <c r="AE30" i="30" s="1"/>
  <c r="AE31" i="30" s="1"/>
  <c r="AL11" i="31"/>
  <c r="AF30" i="30" s="1"/>
  <c r="AF31" i="30" s="1"/>
  <c r="AO23" i="30"/>
  <c r="AP26" i="30"/>
  <c r="AP28" i="30" s="1"/>
  <c r="AO26" i="30"/>
  <c r="AO28" i="30" s="1"/>
  <c r="BC74" i="86"/>
  <c r="BE74" i="86" s="1"/>
  <c r="BE66" i="86"/>
  <c r="AU40" i="31"/>
  <c r="C65" i="33"/>
  <c r="C66" i="33" s="1"/>
  <c r="C67" i="33" s="1"/>
  <c r="C68" i="33" s="1"/>
  <c r="C70" i="33" s="1"/>
  <c r="C71" i="33" s="1"/>
  <c r="BR75" i="86"/>
  <c r="AQ81" i="86"/>
  <c r="BR81" i="86" s="1"/>
  <c r="AQ82" i="86"/>
  <c r="BR82" i="86" s="1"/>
  <c r="BS82" i="86"/>
  <c r="BS84" i="86"/>
  <c r="AQ84" i="86"/>
  <c r="BR84" i="86" s="1"/>
  <c r="AP86" i="86"/>
  <c r="BA86" i="86" s="1"/>
  <c r="AL86" i="86"/>
  <c r="AS86" i="86" s="1"/>
  <c r="AH86" i="86"/>
  <c r="AO86" i="86"/>
  <c r="AK86" i="86"/>
  <c r="AR86" i="86" s="1"/>
  <c r="AJ86" i="86"/>
  <c r="AI86" i="86"/>
  <c r="AN86" i="86"/>
  <c r="AM86" i="86"/>
  <c r="AQ78" i="86"/>
  <c r="AQ79" i="86"/>
  <c r="BC77" i="86"/>
  <c r="AW43" i="31" s="1"/>
  <c r="BR77" i="86"/>
  <c r="AP85" i="86"/>
  <c r="BA85" i="86" s="1"/>
  <c r="AL85" i="86"/>
  <c r="AS85" i="86" s="1"/>
  <c r="AH85" i="86"/>
  <c r="AO85" i="86"/>
  <c r="AK85" i="86"/>
  <c r="AR85" i="86" s="1"/>
  <c r="AI85" i="86"/>
  <c r="AN85" i="86"/>
  <c r="AM85" i="86"/>
  <c r="AT85" i="86" s="1"/>
  <c r="AJ85" i="86"/>
  <c r="BC71" i="86"/>
  <c r="AV44" i="31" s="1"/>
  <c r="BR71" i="86"/>
  <c r="BE75" i="86"/>
  <c r="BP75" i="86"/>
  <c r="AQ80" i="86"/>
  <c r="AP88" i="86"/>
  <c r="BA88" i="86" s="1"/>
  <c r="AL88" i="86"/>
  <c r="AS88" i="86" s="1"/>
  <c r="AH88" i="86"/>
  <c r="AO88" i="86"/>
  <c r="AK88" i="86"/>
  <c r="AR88" i="86" s="1"/>
  <c r="AN88" i="86"/>
  <c r="AM88" i="86"/>
  <c r="AT88" i="86" s="1"/>
  <c r="AJ88" i="86"/>
  <c r="AI88" i="86"/>
  <c r="AP87" i="86"/>
  <c r="BA87" i="86" s="1"/>
  <c r="AL87" i="86"/>
  <c r="AS87" i="86" s="1"/>
  <c r="AH87" i="86"/>
  <c r="AO87" i="86"/>
  <c r="AK87" i="86"/>
  <c r="AR87" i="86" s="1"/>
  <c r="AM87" i="86"/>
  <c r="AT87" i="86" s="1"/>
  <c r="AJ87" i="86"/>
  <c r="AI87" i="86"/>
  <c r="AN87" i="86"/>
  <c r="AM89" i="86"/>
  <c r="AT89" i="86" s="1"/>
  <c r="AI89" i="86"/>
  <c r="AP89" i="86"/>
  <c r="BA89" i="86" s="1"/>
  <c r="AL89" i="86"/>
  <c r="AS89" i="86" s="1"/>
  <c r="AH89" i="86"/>
  <c r="AK89" i="86"/>
  <c r="AR89" i="86" s="1"/>
  <c r="AJ89" i="86"/>
  <c r="AO89" i="86"/>
  <c r="AN89" i="86"/>
  <c r="AG7" i="31"/>
  <c r="AL7" i="31"/>
  <c r="AK7" i="31"/>
  <c r="AJ7" i="31"/>
  <c r="AH7" i="31"/>
  <c r="AI7" i="31"/>
  <c r="BR72" i="86"/>
  <c r="BC73" i="86"/>
  <c r="BR73" i="86"/>
  <c r="BE68" i="86"/>
  <c r="BP68" i="86"/>
  <c r="BS78" i="86"/>
  <c r="AB86" i="33"/>
  <c r="AF86" i="33"/>
  <c r="AB88" i="33"/>
  <c r="AF88" i="33"/>
  <c r="AF89" i="33"/>
  <c r="AB89" i="33"/>
  <c r="AF87" i="33"/>
  <c r="AB87" i="33"/>
  <c r="AF85" i="33"/>
  <c r="AB85" i="33"/>
  <c r="AP22" i="30" l="1"/>
  <c r="AP23" i="30" s="1"/>
  <c r="AQ21" i="30"/>
  <c r="AO18" i="30"/>
  <c r="BE73" i="86"/>
  <c r="AV40" i="31"/>
  <c r="BC82" i="86"/>
  <c r="C72" i="33"/>
  <c r="C73" i="33" s="1"/>
  <c r="C74" i="33" s="1"/>
  <c r="C75" i="33" s="1"/>
  <c r="C77" i="33" s="1"/>
  <c r="C78" i="33" s="1"/>
  <c r="BC81" i="86"/>
  <c r="BE81" i="86" s="1"/>
  <c r="AQ88" i="86"/>
  <c r="BR88" i="86" s="1"/>
  <c r="BC84" i="86"/>
  <c r="AX43" i="31" s="1"/>
  <c r="AQ87" i="86"/>
  <c r="BC87" i="86" s="1"/>
  <c r="BE71" i="86"/>
  <c r="BP71" i="86"/>
  <c r="AQ85" i="86"/>
  <c r="BS85" i="86"/>
  <c r="BR79" i="86"/>
  <c r="BE77" i="86"/>
  <c r="BP77" i="86"/>
  <c r="AQ89" i="86"/>
  <c r="BS89" i="86"/>
  <c r="BC80" i="86"/>
  <c r="BR80" i="86"/>
  <c r="BC78" i="86"/>
  <c r="AW44" i="31" s="1"/>
  <c r="BR78" i="86"/>
  <c r="AQ86" i="86"/>
  <c r="AQ22" i="30" l="1"/>
  <c r="AQ23" i="30" s="1"/>
  <c r="AP18" i="30"/>
  <c r="BP84" i="86"/>
  <c r="BE87" i="86"/>
  <c r="AX40" i="31"/>
  <c r="BE80" i="86"/>
  <c r="AW40" i="31"/>
  <c r="BE82" i="86"/>
  <c r="AW28" i="31"/>
  <c r="BP82" i="86"/>
  <c r="C79" i="33"/>
  <c r="C80" i="33" s="1"/>
  <c r="C81" i="33" s="1"/>
  <c r="C82" i="33" s="1"/>
  <c r="C84" i="33" s="1"/>
  <c r="C85" i="33" s="1"/>
  <c r="C86" i="33" s="1"/>
  <c r="C87" i="33" s="1"/>
  <c r="C88" i="33" s="1"/>
  <c r="C89" i="33" s="1"/>
  <c r="BE84" i="86"/>
  <c r="BR87" i="86"/>
  <c r="BC88" i="86"/>
  <c r="BE88" i="86" s="1"/>
  <c r="BC85" i="86"/>
  <c r="AX44" i="31" s="1"/>
  <c r="BR85" i="86"/>
  <c r="BR86" i="86"/>
  <c r="BC89" i="86"/>
  <c r="BR89" i="86"/>
  <c r="BE78" i="86"/>
  <c r="BP78" i="86"/>
  <c r="AX28" i="31" l="1"/>
  <c r="AR26" i="30" s="1"/>
  <c r="AR28" i="30" s="1"/>
  <c r="AR22" i="30"/>
  <c r="AR21" i="30"/>
  <c r="AQ26" i="30"/>
  <c r="AQ28" i="30" s="1"/>
  <c r="AR18" i="30"/>
  <c r="AQ18" i="30"/>
  <c r="BE85" i="86"/>
  <c r="BP85" i="86"/>
  <c r="BE89" i="86"/>
  <c r="BP89" i="86"/>
  <c r="AR23" i="30" l="1"/>
  <c r="I34" i="30" l="1"/>
  <c r="I37" i="30" l="1"/>
  <c r="B34" i="30"/>
  <c r="F228" i="6" s="1"/>
  <c r="M228" i="6" s="1"/>
  <c r="K48" i="31"/>
  <c r="C48" i="31"/>
  <c r="G48" i="31"/>
  <c r="J228" i="6" l="1"/>
  <c r="M29" i="7" s="1"/>
  <c r="P21" i="30" l="1"/>
  <c r="Q21" i="30"/>
  <c r="R21" i="30"/>
  <c r="S21" i="30"/>
  <c r="T21" i="30"/>
  <c r="P22" i="30"/>
  <c r="Q22" i="30"/>
  <c r="R22" i="30"/>
  <c r="S22" i="30"/>
  <c r="T22" i="30"/>
  <c r="O22" i="30"/>
  <c r="O21" i="30"/>
  <c r="P26" i="30"/>
  <c r="P28" i="30" s="1"/>
  <c r="R26" i="30"/>
  <c r="R28" i="30" s="1"/>
  <c r="S26" i="30"/>
  <c r="S28" i="30" s="1"/>
  <c r="T26" i="30"/>
  <c r="T28" i="30" s="1"/>
  <c r="O23" i="30" l="1"/>
  <c r="S23" i="30"/>
  <c r="R23" i="30"/>
  <c r="Q23" i="30"/>
  <c r="T23" i="30"/>
  <c r="P23" i="30"/>
  <c r="K29" i="31"/>
  <c r="G29" i="31"/>
  <c r="Z41" i="31"/>
  <c r="G28" i="31"/>
  <c r="Q26" i="30"/>
  <c r="Q28" i="30" s="1"/>
  <c r="K40" i="31"/>
  <c r="X41" i="31"/>
  <c r="G40" i="31"/>
  <c r="C28" i="31"/>
  <c r="O26" i="30"/>
  <c r="O28" i="30" s="1"/>
  <c r="K28" i="31"/>
  <c r="C29" i="31"/>
  <c r="C40" i="31"/>
  <c r="W41" i="31"/>
  <c r="V41" i="31"/>
  <c r="B18" i="30" l="1"/>
  <c r="AB9" i="30" l="1"/>
  <c r="AC9" i="30"/>
  <c r="AD9" i="30"/>
  <c r="AE9" i="30"/>
  <c r="AF9" i="30"/>
  <c r="AA9" i="30"/>
  <c r="C18" i="30" l="1"/>
  <c r="Z9" i="30" l="1"/>
  <c r="AF58" i="31" l="1"/>
  <c r="AF59" i="31" s="1"/>
  <c r="AF41" i="31"/>
  <c r="AF57" i="31" s="1"/>
  <c r="Z27" i="30"/>
  <c r="AT62" i="31" l="1"/>
  <c r="AF62" i="31" l="1"/>
  <c r="AG10" i="31" l="1"/>
  <c r="AA8" i="30" s="1"/>
  <c r="AA10" i="30" s="1"/>
  <c r="AI14" i="31"/>
  <c r="AC12" i="30" s="1"/>
  <c r="AI10" i="31"/>
  <c r="AC8" i="30" s="1"/>
  <c r="AC10" i="30" s="1"/>
  <c r="AL14" i="31"/>
  <c r="AF12" i="30" s="1"/>
  <c r="AL10" i="31"/>
  <c r="AF8" i="30" s="1"/>
  <c r="AF10" i="30" s="1"/>
  <c r="AH14" i="31"/>
  <c r="AB12" i="30" s="1"/>
  <c r="AH10" i="31"/>
  <c r="AB8" i="30" s="1"/>
  <c r="AB10" i="30" s="1"/>
  <c r="AK10" i="31"/>
  <c r="AE8" i="30" s="1"/>
  <c r="AE10" i="30" s="1"/>
  <c r="AK14" i="31"/>
  <c r="AE12" i="30" s="1"/>
  <c r="AJ10" i="31"/>
  <c r="AD8" i="30" s="1"/>
  <c r="AD10" i="30" s="1"/>
  <c r="AJ14" i="31"/>
  <c r="AD12" i="30" s="1"/>
  <c r="AB49" i="33" l="1"/>
  <c r="Z49" i="33"/>
  <c r="AI17" i="31"/>
  <c r="AC16" i="30" s="1"/>
  <c r="AK17" i="31"/>
  <c r="AE16" i="30" s="1"/>
  <c r="AG17" i="31"/>
  <c r="AA16" i="30" s="1"/>
  <c r="AH17" i="31"/>
  <c r="AB16" i="30" s="1"/>
  <c r="W53" i="33"/>
  <c r="AG14" i="31" l="1"/>
  <c r="AA12" i="30" s="1"/>
  <c r="Z53" i="33"/>
  <c r="AB53" i="33"/>
  <c r="AA19" i="30"/>
  <c r="AB50" i="33"/>
  <c r="Z50" i="33"/>
  <c r="W52" i="33"/>
  <c r="AF52" i="33"/>
  <c r="AF50" i="33"/>
  <c r="W50" i="33"/>
  <c r="AE19" i="30"/>
  <c r="AL17" i="31"/>
  <c r="AF16" i="30" s="1"/>
  <c r="AJ17" i="31"/>
  <c r="AD16" i="30" s="1"/>
  <c r="AC19" i="30"/>
  <c r="AB19" i="30"/>
  <c r="AD19" i="30" l="1"/>
  <c r="AF19" i="30"/>
  <c r="AG15" i="31"/>
  <c r="T30" i="31"/>
  <c r="T33" i="31" l="1"/>
  <c r="T35" i="31" s="1"/>
  <c r="Z26" i="30" l="1"/>
  <c r="Z28" i="30" s="1"/>
  <c r="AF30" i="31" l="1"/>
  <c r="AG62" i="31"/>
  <c r="AH62" i="31"/>
  <c r="AI62" i="31"/>
  <c r="AJ62" i="31"/>
  <c r="AK62" i="31"/>
  <c r="AL62" i="31"/>
  <c r="AF35" i="31" l="1"/>
  <c r="AF33" i="31"/>
  <c r="N22" i="30"/>
  <c r="N21" i="30"/>
  <c r="T41" i="31"/>
  <c r="N23" i="30" l="1"/>
  <c r="T45" i="31"/>
  <c r="AH15" i="31"/>
  <c r="AI15" i="31"/>
  <c r="AJ15" i="31"/>
  <c r="AK15" i="31"/>
  <c r="AH12" i="31"/>
  <c r="AI12" i="31"/>
  <c r="AJ12" i="31"/>
  <c r="AK12" i="31"/>
  <c r="AL12" i="31"/>
  <c r="AG12" i="31"/>
  <c r="AG19" i="31"/>
  <c r="AH19" i="31"/>
  <c r="AI19" i="31"/>
  <c r="AJ19" i="31"/>
  <c r="AK19" i="31"/>
  <c r="AL19" i="31"/>
  <c r="AL15" i="31"/>
  <c r="AH8" i="31"/>
  <c r="AJ8" i="31"/>
  <c r="AK8" i="31"/>
  <c r="V45" i="31"/>
  <c r="X45" i="31"/>
  <c r="Y45" i="31"/>
  <c r="Z45" i="31"/>
  <c r="U45" i="31"/>
  <c r="AH24" i="31" l="1"/>
  <c r="AH25" i="31" s="1"/>
  <c r="AH23" i="31"/>
  <c r="AK24" i="31"/>
  <c r="AK25" i="31" s="1"/>
  <c r="AK23" i="31"/>
  <c r="AJ24" i="31"/>
  <c r="AJ25" i="31" s="1"/>
  <c r="AJ23" i="31"/>
  <c r="AE5" i="30"/>
  <c r="AE6" i="30" s="1"/>
  <c r="AB5" i="30"/>
  <c r="AB6" i="30" s="1"/>
  <c r="AD5" i="30"/>
  <c r="AD6" i="30" s="1"/>
  <c r="AL8" i="31"/>
  <c r="W45" i="31"/>
  <c r="Y30" i="31"/>
  <c r="Y33" i="31" s="1"/>
  <c r="W30" i="31"/>
  <c r="W33" i="31" s="1"/>
  <c r="U30" i="31"/>
  <c r="U33" i="31" s="1"/>
  <c r="X30" i="31"/>
  <c r="X33" i="31" s="1"/>
  <c r="Z30" i="31"/>
  <c r="Z33" i="31" s="1"/>
  <c r="V30" i="31"/>
  <c r="V33" i="31" s="1"/>
  <c r="AI8" i="31"/>
  <c r="AG8" i="31"/>
  <c r="AG24" i="31" l="1"/>
  <c r="AG25" i="31" s="1"/>
  <c r="AG23" i="31"/>
  <c r="AI24" i="31"/>
  <c r="AI25" i="31" s="1"/>
  <c r="AI23" i="31"/>
  <c r="AL24" i="31"/>
  <c r="AL25" i="31" s="1"/>
  <c r="AL23" i="31"/>
  <c r="AA5" i="30"/>
  <c r="AA6" i="30" s="1"/>
  <c r="AC5" i="30"/>
  <c r="AC6" i="30" s="1"/>
  <c r="AF5" i="30"/>
  <c r="AF6" i="30" s="1"/>
  <c r="AF11" i="31" l="1"/>
  <c r="Z30" i="30" s="1"/>
  <c r="Z31" i="30" s="1"/>
  <c r="AF17" i="31"/>
  <c r="AF10" i="31"/>
  <c r="AF14" i="31"/>
  <c r="Z12" i="30" s="1"/>
  <c r="AF7" i="31"/>
  <c r="Z16" i="30" l="1"/>
  <c r="Z19" i="30" s="1"/>
  <c r="Z8" i="30"/>
  <c r="Z10" i="30" s="1"/>
  <c r="AF15" i="31"/>
  <c r="Z14" i="30"/>
  <c r="AF19" i="31"/>
  <c r="AF8" i="31"/>
  <c r="AF12" i="31"/>
  <c r="Z5" i="30" l="1"/>
  <c r="Z6" i="30" s="1"/>
  <c r="Z43" i="30" s="1"/>
  <c r="AF24" i="31"/>
  <c r="AF25" i="31" s="1"/>
  <c r="AF23" i="31"/>
  <c r="AF63" i="31" s="1"/>
  <c r="AF64" i="31" s="1"/>
  <c r="C36" i="30" l="1"/>
  <c r="C34" i="30" l="1"/>
  <c r="C37" i="30" s="1"/>
  <c r="B27" i="30"/>
  <c r="B26" i="30"/>
  <c r="F250" i="6" s="1"/>
  <c r="B19" i="81" s="1"/>
  <c r="M250" i="6" l="1"/>
  <c r="J250" i="6"/>
  <c r="B28" i="30"/>
  <c r="N3" i="30" l="1"/>
  <c r="Z3" i="30" s="1"/>
  <c r="AL3" i="30" s="1"/>
  <c r="P3" i="30"/>
  <c r="AB3" i="30" s="1"/>
  <c r="AN3" i="30" s="1"/>
  <c r="Q3" i="30"/>
  <c r="AC3" i="30" s="1"/>
  <c r="AO3" i="30" s="1"/>
  <c r="R3" i="30"/>
  <c r="AD3" i="30" s="1"/>
  <c r="AP3" i="30" s="1"/>
  <c r="S3" i="30"/>
  <c r="AE3" i="30" s="1"/>
  <c r="AQ3" i="30" s="1"/>
  <c r="T3" i="30"/>
  <c r="AF3" i="30" s="1"/>
  <c r="AR3" i="30" s="1"/>
  <c r="I3" i="30"/>
  <c r="U3" i="30" s="1"/>
  <c r="AG3" i="30" s="1"/>
  <c r="J3" i="30"/>
  <c r="V3" i="30" s="1"/>
  <c r="AH3" i="30" s="1"/>
  <c r="K3" i="30"/>
  <c r="W3" i="30" s="1"/>
  <c r="AI3" i="30" s="1"/>
  <c r="L3" i="30"/>
  <c r="X3" i="30" s="1"/>
  <c r="AJ3" i="30" s="1"/>
  <c r="M3" i="30"/>
  <c r="Y3" i="30" s="1"/>
  <c r="AK3" i="30" s="1"/>
  <c r="O3" i="30"/>
  <c r="AA3" i="30" s="1"/>
  <c r="AM3" i="30" s="1"/>
  <c r="H55" i="31"/>
  <c r="G36" i="45" l="1"/>
  <c r="G37" i="45"/>
  <c r="G38" i="45"/>
  <c r="G39" i="45"/>
  <c r="G40" i="45"/>
  <c r="G41" i="45"/>
  <c r="G42" i="45"/>
  <c r="G43" i="45"/>
  <c r="G44" i="45"/>
  <c r="G45" i="45"/>
  <c r="G46" i="45"/>
  <c r="G47" i="45"/>
  <c r="G48" i="45"/>
  <c r="G49" i="45"/>
  <c r="G50" i="45"/>
  <c r="G51" i="45"/>
  <c r="G52" i="45"/>
  <c r="G35" i="45"/>
  <c r="I35" i="45"/>
  <c r="V3" i="31" l="1"/>
  <c r="W3" i="31" s="1"/>
  <c r="X3" i="31" s="1"/>
  <c r="Y3" i="31" s="1"/>
  <c r="Z3" i="31" s="1"/>
  <c r="O3" i="31" s="1"/>
  <c r="P3" i="31" s="1"/>
  <c r="Q3" i="31" s="1"/>
  <c r="R3" i="31" s="1"/>
  <c r="S3" i="31" s="1"/>
  <c r="T3" i="31" s="1"/>
  <c r="AQ45" i="31" l="1"/>
  <c r="AR45" i="31"/>
  <c r="AR30" i="31"/>
  <c r="AR33" i="31" s="1"/>
  <c r="S30" i="31"/>
  <c r="S33" i="31" l="1"/>
  <c r="S35" i="31" s="1"/>
  <c r="AS62" i="31" l="1"/>
  <c r="AE62" i="31" l="1"/>
  <c r="Y9" i="30"/>
  <c r="Y27" i="30"/>
  <c r="AE58" i="31" l="1"/>
  <c r="AE59" i="31" s="1"/>
  <c r="AE41" i="31"/>
  <c r="AE57" i="31" s="1"/>
  <c r="AE7" i="31" l="1"/>
  <c r="AE11" i="31"/>
  <c r="Y30" i="30" s="1"/>
  <c r="Y31" i="30" s="1"/>
  <c r="AE17" i="31"/>
  <c r="Y16" i="30" s="1"/>
  <c r="AE10" i="31"/>
  <c r="AE14" i="31"/>
  <c r="Y12" i="30" s="1"/>
  <c r="Y19" i="30" l="1"/>
  <c r="Y8" i="30"/>
  <c r="AE8" i="31"/>
  <c r="AE19" i="31"/>
  <c r="Y5" i="30" l="1"/>
  <c r="Y6" i="30" s="1"/>
  <c r="AE24" i="31"/>
  <c r="I36" i="45" l="1"/>
  <c r="Y14" i="30" l="1"/>
  <c r="Y10" i="30"/>
  <c r="Y26" i="30"/>
  <c r="Y28" i="30" s="1"/>
  <c r="Y43" i="30" l="1"/>
  <c r="M22" i="30"/>
  <c r="M21" i="30"/>
  <c r="AE12" i="31"/>
  <c r="AE25" i="31"/>
  <c r="AE15" i="31"/>
  <c r="M23" i="30" l="1"/>
  <c r="AE23" i="31"/>
  <c r="S45" i="31"/>
  <c r="S41" i="31"/>
  <c r="X9" i="30"/>
  <c r="AD62" i="31"/>
  <c r="AD58" i="31" l="1"/>
  <c r="AD59" i="31" s="1"/>
  <c r="AD41" i="31"/>
  <c r="AD57" i="31" s="1"/>
  <c r="X27" i="30"/>
  <c r="AQ30" i="31" l="1"/>
  <c r="AQ33" i="31" s="1"/>
  <c r="AC62" i="31" l="1"/>
  <c r="AB62" i="31"/>
  <c r="E26" i="33" l="1"/>
  <c r="E25" i="33"/>
  <c r="E24" i="33"/>
  <c r="E23" i="33"/>
  <c r="E22" i="33"/>
  <c r="E21" i="33"/>
  <c r="E19" i="33"/>
  <c r="E18" i="33"/>
  <c r="E17" i="33"/>
  <c r="E16" i="33"/>
  <c r="E15" i="33"/>
  <c r="E14" i="33"/>
  <c r="E12" i="33"/>
  <c r="E11" i="33"/>
  <c r="E10" i="33"/>
  <c r="E9" i="33"/>
  <c r="E8" i="33"/>
  <c r="E7" i="33"/>
  <c r="BJ9" i="33" l="1"/>
  <c r="BD9" i="33"/>
  <c r="AT9" i="33" s="1"/>
  <c r="BI9" i="33"/>
  <c r="BH9" i="33"/>
  <c r="BG9" i="33"/>
  <c r="BC9" i="33"/>
  <c r="L9" i="33"/>
  <c r="K9" i="33"/>
  <c r="J9" i="33"/>
  <c r="I9" i="33"/>
  <c r="BJ18" i="33"/>
  <c r="AW18" i="33" s="1"/>
  <c r="BD18" i="33"/>
  <c r="AT18" i="33" s="1"/>
  <c r="BI18" i="33"/>
  <c r="BC18" i="33"/>
  <c r="AU18" i="33" s="1"/>
  <c r="BH18" i="33"/>
  <c r="BG18" i="33"/>
  <c r="K18" i="33"/>
  <c r="L18" i="33"/>
  <c r="J18" i="33"/>
  <c r="I18" i="33"/>
  <c r="BH10" i="33"/>
  <c r="BG10" i="33"/>
  <c r="BJ10" i="33"/>
  <c r="AW10" i="33" s="1"/>
  <c r="BI10" i="33"/>
  <c r="BD10" i="33"/>
  <c r="AT10" i="33" s="1"/>
  <c r="BC10" i="33"/>
  <c r="AU10" i="33" s="1"/>
  <c r="AO11" i="86"/>
  <c r="AI11" i="86"/>
  <c r="AH11" i="86"/>
  <c r="AM11" i="86"/>
  <c r="AT11" i="86" s="1"/>
  <c r="AL11" i="86"/>
  <c r="AS11" i="86" s="1"/>
  <c r="AJ11" i="86"/>
  <c r="AK11" i="86"/>
  <c r="AR11" i="86" s="1"/>
  <c r="AP11" i="86"/>
  <c r="BA11" i="86" s="1"/>
  <c r="AN11" i="86"/>
  <c r="BH19" i="33"/>
  <c r="BG19" i="33"/>
  <c r="BJ19" i="33"/>
  <c r="AW19" i="33" s="1"/>
  <c r="BI19" i="33"/>
  <c r="BD19" i="33"/>
  <c r="AT19" i="33" s="1"/>
  <c r="BC19" i="33"/>
  <c r="AU19" i="33" s="1"/>
  <c r="K19" i="33"/>
  <c r="H19" i="33"/>
  <c r="BJ7" i="33"/>
  <c r="BD7" i="33"/>
  <c r="BI7" i="33"/>
  <c r="BH7" i="33"/>
  <c r="BG7" i="33"/>
  <c r="BC7" i="33"/>
  <c r="K7" i="33"/>
  <c r="L96" i="33"/>
  <c r="N96" i="33" s="1"/>
  <c r="H7" i="33"/>
  <c r="BJ11" i="33"/>
  <c r="AW11" i="33" s="1"/>
  <c r="BD11" i="33"/>
  <c r="AT11" i="33" s="1"/>
  <c r="BI11" i="33"/>
  <c r="BC11" i="33"/>
  <c r="AU11" i="33" s="1"/>
  <c r="BH11" i="33"/>
  <c r="BG11" i="33"/>
  <c r="L11" i="33"/>
  <c r="K11" i="33"/>
  <c r="J11" i="33"/>
  <c r="I11" i="33"/>
  <c r="BJ16" i="33"/>
  <c r="AW16" i="33" s="1"/>
  <c r="BD16" i="33"/>
  <c r="AT16" i="33" s="1"/>
  <c r="BI16" i="33"/>
  <c r="BC16" i="33"/>
  <c r="AU16" i="33" s="1"/>
  <c r="BH16" i="33"/>
  <c r="BG16" i="33"/>
  <c r="L16" i="33"/>
  <c r="K16" i="33"/>
  <c r="J16" i="33"/>
  <c r="I16" i="33"/>
  <c r="BJ21" i="33"/>
  <c r="AW21" i="33" s="1"/>
  <c r="BD21" i="33"/>
  <c r="AT21" i="33" s="1"/>
  <c r="BI21" i="33"/>
  <c r="BC21" i="33"/>
  <c r="AU21" i="33" s="1"/>
  <c r="BH21" i="33"/>
  <c r="BG21" i="33"/>
  <c r="K21" i="33"/>
  <c r="H21" i="33"/>
  <c r="AF21" i="33" s="1"/>
  <c r="BG25" i="33"/>
  <c r="BH25" i="33"/>
  <c r="BD25" i="33"/>
  <c r="AT25" i="33" s="1"/>
  <c r="BC25" i="33"/>
  <c r="AU25" i="33" s="1"/>
  <c r="BJ25" i="33"/>
  <c r="AW25" i="33" s="1"/>
  <c r="BI25" i="33"/>
  <c r="L25" i="33"/>
  <c r="K25" i="33"/>
  <c r="I25" i="33"/>
  <c r="J25" i="33"/>
  <c r="BJ14" i="33"/>
  <c r="AW14" i="33" s="1"/>
  <c r="BD14" i="33"/>
  <c r="AT14" i="33" s="1"/>
  <c r="BI14" i="33"/>
  <c r="BC14" i="33"/>
  <c r="AU14" i="33" s="1"/>
  <c r="BH14" i="33"/>
  <c r="BG14" i="33"/>
  <c r="K14" i="33"/>
  <c r="H14" i="33"/>
  <c r="BJ23" i="33"/>
  <c r="BD23" i="33"/>
  <c r="AT23" i="33" s="1"/>
  <c r="BI23" i="33"/>
  <c r="BC23" i="33"/>
  <c r="AU23" i="33" s="1"/>
  <c r="BH23" i="33"/>
  <c r="BG23" i="33"/>
  <c r="L23" i="33"/>
  <c r="K23" i="33"/>
  <c r="J23" i="33"/>
  <c r="I23" i="33"/>
  <c r="BH15" i="33"/>
  <c r="BG15" i="33"/>
  <c r="BJ15" i="33"/>
  <c r="AW15" i="33" s="1"/>
  <c r="BI15" i="33"/>
  <c r="BD15" i="33"/>
  <c r="AT15" i="33" s="1"/>
  <c r="BC15" i="33"/>
  <c r="AU15" i="33" s="1"/>
  <c r="K15" i="33"/>
  <c r="H15" i="33"/>
  <c r="BI24" i="33"/>
  <c r="BH24" i="33"/>
  <c r="BG24" i="33"/>
  <c r="BJ24" i="33"/>
  <c r="AW24" i="33" s="1"/>
  <c r="BD24" i="33"/>
  <c r="AT24" i="33" s="1"/>
  <c r="BC24" i="33"/>
  <c r="AU24" i="33" s="1"/>
  <c r="BH8" i="33"/>
  <c r="BI8" i="33"/>
  <c r="BG8" i="33"/>
  <c r="BD8" i="33"/>
  <c r="AT8" i="33" s="1"/>
  <c r="BJ8" i="33"/>
  <c r="AW8" i="33" s="1"/>
  <c r="BC8" i="33"/>
  <c r="AU8" i="33" s="1"/>
  <c r="H8" i="33"/>
  <c r="K8" i="33"/>
  <c r="BH12" i="33"/>
  <c r="BG12" i="33"/>
  <c r="BD12" i="33"/>
  <c r="AT12" i="33" s="1"/>
  <c r="BC12" i="33"/>
  <c r="AU12" i="33" s="1"/>
  <c r="BJ12" i="33"/>
  <c r="AW12" i="33" s="1"/>
  <c r="BI12" i="33"/>
  <c r="K12" i="33"/>
  <c r="H12" i="33"/>
  <c r="BH17" i="33"/>
  <c r="BG17" i="33"/>
  <c r="BD17" i="33"/>
  <c r="AT17" i="33" s="1"/>
  <c r="BC17" i="33"/>
  <c r="AU17" i="33" s="1"/>
  <c r="BJ17" i="33"/>
  <c r="AW17" i="33" s="1"/>
  <c r="BI17" i="33"/>
  <c r="AI18" i="86"/>
  <c r="AK18" i="86"/>
  <c r="AR18" i="86" s="1"/>
  <c r="AL18" i="86"/>
  <c r="AS18" i="86" s="1"/>
  <c r="AJ18" i="86"/>
  <c r="AN18" i="86"/>
  <c r="AH18" i="86"/>
  <c r="AM18" i="86"/>
  <c r="AT18" i="86" s="1"/>
  <c r="AO18" i="86"/>
  <c r="AP18" i="86"/>
  <c r="BA18" i="86" s="1"/>
  <c r="BH22" i="33"/>
  <c r="BG22" i="33"/>
  <c r="BD22" i="33"/>
  <c r="AT22" i="33" s="1"/>
  <c r="BC22" i="33"/>
  <c r="AU22" i="33" s="1"/>
  <c r="BJ22" i="33"/>
  <c r="AW22" i="33" s="1"/>
  <c r="BI22" i="33"/>
  <c r="K22" i="33"/>
  <c r="H22" i="33"/>
  <c r="AF22" i="33" s="1"/>
  <c r="BI26" i="33"/>
  <c r="BC26" i="33"/>
  <c r="AU26" i="33" s="1"/>
  <c r="BG26" i="33"/>
  <c r="BD26" i="33"/>
  <c r="AT26" i="33" s="1"/>
  <c r="BJ26" i="33"/>
  <c r="AW26" i="33" s="1"/>
  <c r="BH26" i="33"/>
  <c r="K26" i="33"/>
  <c r="H26" i="33"/>
  <c r="AM14" i="86"/>
  <c r="AT14" i="86" s="1"/>
  <c r="AJ14" i="86"/>
  <c r="AK14" i="86"/>
  <c r="AR14" i="86" s="1"/>
  <c r="AI14" i="86"/>
  <c r="AL14" i="86"/>
  <c r="AS14" i="86" s="1"/>
  <c r="AO14" i="86"/>
  <c r="AH14" i="86"/>
  <c r="AP14" i="86"/>
  <c r="BA14" i="86" s="1"/>
  <c r="AN14" i="86"/>
  <c r="AP15" i="86"/>
  <c r="BA15" i="86" s="1"/>
  <c r="AJ15" i="86"/>
  <c r="AH15" i="86"/>
  <c r="AO15" i="86"/>
  <c r="AM15" i="86"/>
  <c r="AT15" i="86" s="1"/>
  <c r="AN15" i="86"/>
  <c r="AI15" i="86"/>
  <c r="AL15" i="86"/>
  <c r="AS15" i="86" s="1"/>
  <c r="AK15" i="86"/>
  <c r="AR15" i="86" s="1"/>
  <c r="AI19" i="86"/>
  <c r="AH19" i="86"/>
  <c r="AN19" i="86"/>
  <c r="AO19" i="86"/>
  <c r="AP19" i="86"/>
  <c r="BA19" i="86" s="1"/>
  <c r="AJ19" i="86"/>
  <c r="AK19" i="86"/>
  <c r="AR19" i="86" s="1"/>
  <c r="AM19" i="86"/>
  <c r="AT19" i="86" s="1"/>
  <c r="AL19" i="86"/>
  <c r="AS19" i="86" s="1"/>
  <c r="AH21" i="86"/>
  <c r="AN21" i="86"/>
  <c r="AO21" i="86"/>
  <c r="AM21" i="86"/>
  <c r="AT21" i="86" s="1"/>
  <c r="AK21" i="86"/>
  <c r="AR21" i="86" s="1"/>
  <c r="AJ21" i="86"/>
  <c r="AI21" i="86"/>
  <c r="AL21" i="86"/>
  <c r="AS21" i="86" s="1"/>
  <c r="AP21" i="86"/>
  <c r="BA21" i="86" s="1"/>
  <c r="AI24" i="86"/>
  <c r="AH24" i="86"/>
  <c r="AN24" i="86"/>
  <c r="AO24" i="86"/>
  <c r="AJ24" i="86"/>
  <c r="AL24" i="86"/>
  <c r="AS24" i="86" s="1"/>
  <c r="AM24" i="86"/>
  <c r="AT24" i="86" s="1"/>
  <c r="AP24" i="86"/>
  <c r="BA24" i="86" s="1"/>
  <c r="AK24" i="86"/>
  <c r="AR24" i="86" s="1"/>
  <c r="AJ26" i="86"/>
  <c r="AM26" i="86"/>
  <c r="AT26" i="86" s="1"/>
  <c r="AO26" i="86"/>
  <c r="AH26" i="86"/>
  <c r="AK26" i="86"/>
  <c r="AR26" i="86" s="1"/>
  <c r="AI26" i="86"/>
  <c r="AL26" i="86"/>
  <c r="AS26" i="86" s="1"/>
  <c r="AN26" i="86"/>
  <c r="AP26" i="86"/>
  <c r="BA26" i="86" s="1"/>
  <c r="AI17" i="86"/>
  <c r="AN17" i="86"/>
  <c r="AP17" i="86"/>
  <c r="BA17" i="86" s="1"/>
  <c r="AO17" i="86"/>
  <c r="AL17" i="86"/>
  <c r="AS17" i="86" s="1"/>
  <c r="AK17" i="86"/>
  <c r="AR17" i="86" s="1"/>
  <c r="AM17" i="86"/>
  <c r="AT17" i="86" s="1"/>
  <c r="AH17" i="86"/>
  <c r="AJ17" i="86"/>
  <c r="AI22" i="86"/>
  <c r="AH22" i="86"/>
  <c r="AN22" i="86"/>
  <c r="AO22" i="86"/>
  <c r="AJ22" i="86"/>
  <c r="AK22" i="86"/>
  <c r="AR22" i="86" s="1"/>
  <c r="AM22" i="86"/>
  <c r="AT22" i="86" s="1"/>
  <c r="AP22" i="86"/>
  <c r="BA22" i="86" s="1"/>
  <c r="AL22" i="86"/>
  <c r="AS22" i="86" s="1"/>
  <c r="AP16" i="86"/>
  <c r="BA16" i="86" s="1"/>
  <c r="AL16" i="86"/>
  <c r="AS16" i="86" s="1"/>
  <c r="AK16" i="86"/>
  <c r="AR16" i="86" s="1"/>
  <c r="AH16" i="86"/>
  <c r="AJ16" i="86"/>
  <c r="AI16" i="86"/>
  <c r="AN16" i="86"/>
  <c r="AM16" i="86"/>
  <c r="AO16" i="86"/>
  <c r="BT9" i="86"/>
  <c r="AM9" i="86"/>
  <c r="AI9" i="86"/>
  <c r="AP9" i="86"/>
  <c r="BA9" i="86" s="1"/>
  <c r="AL9" i="86"/>
  <c r="AS9" i="86" s="1"/>
  <c r="AO9" i="86"/>
  <c r="AK9" i="86"/>
  <c r="AR9" i="86" s="1"/>
  <c r="AH9" i="86"/>
  <c r="AJ9" i="86"/>
  <c r="AN9" i="86"/>
  <c r="AW9" i="33"/>
  <c r="AU9" i="33"/>
  <c r="AM10" i="86"/>
  <c r="AT10" i="86" s="1"/>
  <c r="AI10" i="86"/>
  <c r="AL10" i="86"/>
  <c r="AS10" i="86" s="1"/>
  <c r="AO10" i="86"/>
  <c r="AK10" i="86"/>
  <c r="AR10" i="86" s="1"/>
  <c r="AP10" i="86"/>
  <c r="BA10" i="86" s="1"/>
  <c r="AH10" i="86"/>
  <c r="AN10" i="86"/>
  <c r="AJ10" i="86"/>
  <c r="BT22" i="86"/>
  <c r="AM7" i="86"/>
  <c r="AT7" i="86" s="1"/>
  <c r="AI7" i="86"/>
  <c r="AP7" i="86"/>
  <c r="BA7" i="86" s="1"/>
  <c r="AL7" i="86"/>
  <c r="AS7" i="86" s="1"/>
  <c r="AH7" i="86"/>
  <c r="AO7" i="86"/>
  <c r="AK7" i="86"/>
  <c r="AR7" i="86" s="1"/>
  <c r="AJ7" i="86"/>
  <c r="AN7" i="86"/>
  <c r="AM8" i="86"/>
  <c r="AT8" i="86" s="1"/>
  <c r="AI8" i="86"/>
  <c r="AP8" i="86"/>
  <c r="BA8" i="86" s="1"/>
  <c r="AL8" i="86"/>
  <c r="AS8" i="86" s="1"/>
  <c r="AH8" i="86"/>
  <c r="AO8" i="86"/>
  <c r="AK8" i="86"/>
  <c r="AR8" i="86" s="1"/>
  <c r="AN8" i="86"/>
  <c r="AJ8" i="86"/>
  <c r="AN12" i="86"/>
  <c r="AJ12" i="86"/>
  <c r="AM12" i="86"/>
  <c r="AT12" i="86" s="1"/>
  <c r="AI12" i="86"/>
  <c r="AL12" i="86"/>
  <c r="AS12" i="86" s="1"/>
  <c r="AP12" i="86"/>
  <c r="BA12" i="86" s="1"/>
  <c r="AH12" i="86"/>
  <c r="AK12" i="86"/>
  <c r="AR12" i="86" s="1"/>
  <c r="AO12" i="86"/>
  <c r="BT15" i="86"/>
  <c r="BT19" i="86"/>
  <c r="BT24" i="86"/>
  <c r="AW23" i="33"/>
  <c r="G23" i="33"/>
  <c r="F23" i="33"/>
  <c r="U17" i="33"/>
  <c r="AE17" i="33" s="1"/>
  <c r="U24" i="33"/>
  <c r="AE24" i="33" s="1"/>
  <c r="F14" i="33"/>
  <c r="N17" i="33"/>
  <c r="U15" i="33"/>
  <c r="AE15" i="33" s="1"/>
  <c r="U18" i="33"/>
  <c r="AE18" i="33" s="1"/>
  <c r="T23" i="33"/>
  <c r="G24" i="33"/>
  <c r="U26" i="33"/>
  <c r="AE26" i="33" s="1"/>
  <c r="U16" i="33"/>
  <c r="AE16" i="33" s="1"/>
  <c r="S22" i="33"/>
  <c r="N18" i="33"/>
  <c r="G16" i="33"/>
  <c r="N16" i="33"/>
  <c r="S16" i="33"/>
  <c r="O16" i="33"/>
  <c r="G14" i="33"/>
  <c r="O21" i="33"/>
  <c r="P26" i="33"/>
  <c r="U14" i="33"/>
  <c r="AE14" i="33" s="1"/>
  <c r="S21" i="33"/>
  <c r="S24" i="33"/>
  <c r="O25" i="33"/>
  <c r="Q26" i="33"/>
  <c r="F15" i="33"/>
  <c r="N15" i="33"/>
  <c r="N24" i="33"/>
  <c r="S25" i="33"/>
  <c r="F26" i="33"/>
  <c r="Q15" i="33"/>
  <c r="P23" i="33"/>
  <c r="N25" i="33"/>
  <c r="U25" i="33"/>
  <c r="AE25" i="33" s="1"/>
  <c r="G26" i="33"/>
  <c r="G15" i="33"/>
  <c r="O23" i="33"/>
  <c r="N26" i="33"/>
  <c r="T26" i="33"/>
  <c r="O22" i="33"/>
  <c r="Q14" i="33"/>
  <c r="S23" i="33"/>
  <c r="P24" i="33"/>
  <c r="F21" i="33"/>
  <c r="Q21" i="33"/>
  <c r="U21" i="33"/>
  <c r="AE21" i="33" s="1"/>
  <c r="F22" i="33"/>
  <c r="Q22" i="33"/>
  <c r="U22" i="33"/>
  <c r="AE22" i="33" s="1"/>
  <c r="N23" i="33"/>
  <c r="U23" i="33"/>
  <c r="AE23" i="33" s="1"/>
  <c r="P21" i="33"/>
  <c r="T21" i="33"/>
  <c r="P22" i="33"/>
  <c r="T22" i="33"/>
  <c r="G21" i="33"/>
  <c r="N21" i="33"/>
  <c r="G22" i="33"/>
  <c r="N22" i="33"/>
  <c r="Q24" i="33"/>
  <c r="F24" i="33"/>
  <c r="O24" i="33"/>
  <c r="T24" i="33"/>
  <c r="T25" i="33"/>
  <c r="P25" i="33"/>
  <c r="F25" i="33"/>
  <c r="S26" i="33"/>
  <c r="O26" i="33"/>
  <c r="N14" i="33"/>
  <c r="F19" i="33"/>
  <c r="U19" i="33"/>
  <c r="AE19" i="33" s="1"/>
  <c r="O14" i="33"/>
  <c r="S14" i="33"/>
  <c r="O15" i="33"/>
  <c r="S15" i="33"/>
  <c r="T16" i="33"/>
  <c r="P16" i="33"/>
  <c r="F16" i="33"/>
  <c r="S17" i="33"/>
  <c r="P19" i="33"/>
  <c r="S19" i="33"/>
  <c r="O19" i="33"/>
  <c r="N19" i="33"/>
  <c r="G19" i="33"/>
  <c r="T19" i="33"/>
  <c r="Q17" i="33"/>
  <c r="F17" i="33"/>
  <c r="T17" i="33"/>
  <c r="P17" i="33"/>
  <c r="O17" i="33"/>
  <c r="G17" i="33"/>
  <c r="P14" i="33"/>
  <c r="T14" i="33"/>
  <c r="P15" i="33"/>
  <c r="T15" i="33"/>
  <c r="Q19" i="33"/>
  <c r="O18" i="33"/>
  <c r="S18" i="33"/>
  <c r="F18" i="33"/>
  <c r="P18" i="33"/>
  <c r="T18" i="33"/>
  <c r="Q15" i="32" l="1"/>
  <c r="L95" i="33"/>
  <c r="N95" i="33" s="1"/>
  <c r="O95" i="33" s="1"/>
  <c r="L98" i="33"/>
  <c r="N98" i="33" s="1"/>
  <c r="O98" i="33" s="1"/>
  <c r="L97" i="33"/>
  <c r="N97" i="33" s="1"/>
  <c r="O97" i="33" s="1"/>
  <c r="AQ18" i="86"/>
  <c r="BC18" i="86" s="1"/>
  <c r="BP18" i="86" s="1"/>
  <c r="O17" i="32"/>
  <c r="BJ90" i="33"/>
  <c r="H94" i="33"/>
  <c r="BS11" i="86"/>
  <c r="R17" i="32"/>
  <c r="BC90" i="33"/>
  <c r="BD90" i="33"/>
  <c r="BA8" i="33"/>
  <c r="L93" i="33"/>
  <c r="AQ11" i="86"/>
  <c r="AU7" i="33"/>
  <c r="AV94" i="33" s="1"/>
  <c r="BS18" i="86"/>
  <c r="AW7" i="33"/>
  <c r="AW90" i="33" s="1"/>
  <c r="AW102" i="33" s="1"/>
  <c r="H106" i="33"/>
  <c r="Q17" i="32"/>
  <c r="S17" i="32"/>
  <c r="AW98" i="33"/>
  <c r="BA90" i="86"/>
  <c r="AS90" i="86"/>
  <c r="AU99" i="33"/>
  <c r="AW96" i="33"/>
  <c r="AV98" i="33"/>
  <c r="AV99" i="33"/>
  <c r="AW95" i="33"/>
  <c r="AU96" i="33"/>
  <c r="AW97" i="33"/>
  <c r="AV95" i="33"/>
  <c r="AU97" i="33"/>
  <c r="AU98" i="33"/>
  <c r="AU95" i="33"/>
  <c r="AV97" i="33"/>
  <c r="AW99" i="33"/>
  <c r="AV96" i="33"/>
  <c r="Q13" i="32"/>
  <c r="AT7" i="33"/>
  <c r="R15" i="32"/>
  <c r="AR90" i="86"/>
  <c r="R14" i="32"/>
  <c r="O16" i="32"/>
  <c r="S16" i="32"/>
  <c r="S18" i="32"/>
  <c r="S14" i="32"/>
  <c r="R18" i="32"/>
  <c r="O13" i="32"/>
  <c r="O15" i="32"/>
  <c r="S13" i="32"/>
  <c r="R16" i="32"/>
  <c r="R13" i="32"/>
  <c r="Q16" i="32"/>
  <c r="Q14" i="32"/>
  <c r="Q18" i="32"/>
  <c r="O18" i="32"/>
  <c r="O14" i="32"/>
  <c r="AQ22" i="86"/>
  <c r="BC22" i="86" s="1"/>
  <c r="AQ24" i="86"/>
  <c r="BC24" i="86" s="1"/>
  <c r="AQ26" i="86"/>
  <c r="BR26" i="86" s="1"/>
  <c r="AQ14" i="86"/>
  <c r="BC14" i="86" s="1"/>
  <c r="AQ17" i="86"/>
  <c r="BC17" i="86" s="1"/>
  <c r="AQ16" i="86"/>
  <c r="AQ21" i="86"/>
  <c r="BC21" i="86" s="1"/>
  <c r="AQ19" i="86"/>
  <c r="BC19" i="86" s="1"/>
  <c r="AQ15" i="86"/>
  <c r="BC15" i="86" s="1"/>
  <c r="AQ9" i="86"/>
  <c r="AQ12" i="86"/>
  <c r="AQ8" i="86"/>
  <c r="AQ10" i="86"/>
  <c r="BS14" i="86"/>
  <c r="BS22" i="86"/>
  <c r="BS8" i="86"/>
  <c r="AQ7" i="86"/>
  <c r="BS21" i="86"/>
  <c r="BT12" i="86"/>
  <c r="BT7" i="86"/>
  <c r="BT17" i="86"/>
  <c r="BT10" i="86"/>
  <c r="BT21" i="86"/>
  <c r="BT14" i="86"/>
  <c r="BS7" i="86"/>
  <c r="BS10" i="86"/>
  <c r="BT26" i="86"/>
  <c r="BS26" i="86"/>
  <c r="BS15" i="86"/>
  <c r="BS12" i="86"/>
  <c r="BT8" i="86"/>
  <c r="BT16" i="86"/>
  <c r="AD10" i="31"/>
  <c r="AB18" i="31"/>
  <c r="V17" i="30" s="1"/>
  <c r="AC18" i="31"/>
  <c r="W17" i="30" s="1"/>
  <c r="AB10" i="31"/>
  <c r="AD18" i="31"/>
  <c r="X17" i="30" s="1"/>
  <c r="AC7" i="31"/>
  <c r="AC10" i="31"/>
  <c r="AC11" i="31"/>
  <c r="W30" i="30" s="1"/>
  <c r="W31" i="30" s="1"/>
  <c r="AB11" i="31"/>
  <c r="AB17" i="31"/>
  <c r="V16" i="30" s="1"/>
  <c r="AD14" i="31"/>
  <c r="X12" i="30" s="1"/>
  <c r="AB14" i="31"/>
  <c r="V12" i="30" s="1"/>
  <c r="AD17" i="31"/>
  <c r="X16" i="30" s="1"/>
  <c r="AC14" i="31"/>
  <c r="AD7" i="31"/>
  <c r="AD11" i="31"/>
  <c r="X30" i="30" s="1"/>
  <c r="X31" i="30" s="1"/>
  <c r="AB7" i="31"/>
  <c r="AC17" i="31"/>
  <c r="W16" i="30" s="1"/>
  <c r="BA25" i="33"/>
  <c r="BA18" i="33"/>
  <c r="W24" i="33"/>
  <c r="AA26" i="33"/>
  <c r="Z22" i="33"/>
  <c r="W21" i="33"/>
  <c r="AA15" i="33"/>
  <c r="AA21" i="33"/>
  <c r="Z19" i="33"/>
  <c r="W22" i="33"/>
  <c r="AA24" i="33"/>
  <c r="AF24" i="33"/>
  <c r="AB18" i="33"/>
  <c r="AA17" i="33"/>
  <c r="AA14" i="33"/>
  <c r="BP16" i="33"/>
  <c r="BP23" i="33"/>
  <c r="BP14" i="33"/>
  <c r="BA24" i="33"/>
  <c r="BA23" i="33"/>
  <c r="BA21" i="33"/>
  <c r="Z26" i="33"/>
  <c r="BA22" i="33"/>
  <c r="BA26" i="33"/>
  <c r="BP22" i="33"/>
  <c r="AB24" i="33"/>
  <c r="Z24" i="33"/>
  <c r="BP24" i="33"/>
  <c r="Z21" i="33"/>
  <c r="BP26" i="33"/>
  <c r="AA22" i="33"/>
  <c r="BP21" i="33"/>
  <c r="AB21" i="33"/>
  <c r="AB26" i="33"/>
  <c r="AB22" i="33"/>
  <c r="AB25" i="33"/>
  <c r="Z25" i="33"/>
  <c r="AF26" i="33"/>
  <c r="W26" i="33"/>
  <c r="AB23" i="33"/>
  <c r="Z23" i="33"/>
  <c r="BP15" i="33"/>
  <c r="BP17" i="33"/>
  <c r="BA15" i="33"/>
  <c r="BP19" i="33"/>
  <c r="BA14" i="33"/>
  <c r="BA16" i="33"/>
  <c r="Z17" i="33"/>
  <c r="AB17" i="33"/>
  <c r="AA19" i="33"/>
  <c r="AF14" i="33"/>
  <c r="W14" i="33"/>
  <c r="BA19" i="33"/>
  <c r="Z15" i="33"/>
  <c r="AB15" i="33"/>
  <c r="Z14" i="33"/>
  <c r="BA17" i="33"/>
  <c r="Z16" i="33"/>
  <c r="AB16" i="33"/>
  <c r="AB14" i="33"/>
  <c r="AF19" i="33"/>
  <c r="W19" i="33"/>
  <c r="AF15" i="33"/>
  <c r="W15" i="33"/>
  <c r="Z18" i="33"/>
  <c r="AB19" i="33"/>
  <c r="W17" i="33"/>
  <c r="AF17" i="33"/>
  <c r="H107" i="33" l="1"/>
  <c r="H109" i="33" s="1"/>
  <c r="M105" i="33"/>
  <c r="N106" i="33" s="1"/>
  <c r="N15" i="32"/>
  <c r="BR18" i="86"/>
  <c r="AW94" i="33"/>
  <c r="AW101" i="33" s="1"/>
  <c r="AU90" i="33"/>
  <c r="AV102" i="33" s="1"/>
  <c r="L100" i="33"/>
  <c r="N93" i="33"/>
  <c r="L101" i="33"/>
  <c r="H95" i="33"/>
  <c r="H97" i="33" s="1"/>
  <c r="H99" i="33" s="1"/>
  <c r="BR11" i="86"/>
  <c r="BC11" i="86"/>
  <c r="N17" i="32"/>
  <c r="AQ90" i="86"/>
  <c r="AV101" i="33"/>
  <c r="AU94" i="33"/>
  <c r="AU101" i="33" s="1"/>
  <c r="AT90" i="33"/>
  <c r="AU102" i="33" s="1"/>
  <c r="N13" i="32"/>
  <c r="BR8" i="86"/>
  <c r="N14" i="32"/>
  <c r="BC12" i="86"/>
  <c r="BP12" i="86" s="1"/>
  <c r="N18" i="32"/>
  <c r="BR10" i="86"/>
  <c r="N16" i="32"/>
  <c r="W12" i="30"/>
  <c r="W14" i="30" s="1"/>
  <c r="BE15" i="86"/>
  <c r="BE22" i="86"/>
  <c r="BE21" i="86"/>
  <c r="BE14" i="86"/>
  <c r="BE17" i="86"/>
  <c r="BE24" i="86"/>
  <c r="BE19" i="86"/>
  <c r="BC26" i="86"/>
  <c r="BR16" i="86"/>
  <c r="BP15" i="86"/>
  <c r="BR21" i="86"/>
  <c r="BR9" i="86"/>
  <c r="BR15" i="86"/>
  <c r="BC8" i="86"/>
  <c r="X14" i="32" s="1"/>
  <c r="Z14" i="32" s="1"/>
  <c r="BC10" i="86"/>
  <c r="X16" i="32" s="1"/>
  <c r="Z16" i="32" s="1"/>
  <c r="BC7" i="86"/>
  <c r="BR12" i="86"/>
  <c r="BP22" i="86"/>
  <c r="BR22" i="86"/>
  <c r="BP14" i="86"/>
  <c r="BR14" i="86"/>
  <c r="BR24" i="86"/>
  <c r="BR19" i="86"/>
  <c r="BR17" i="86"/>
  <c r="W19" i="30"/>
  <c r="L14" i="31"/>
  <c r="L18" i="31"/>
  <c r="L7" i="31"/>
  <c r="L17" i="31"/>
  <c r="W8" i="30"/>
  <c r="X19" i="30"/>
  <c r="X8" i="30"/>
  <c r="V30" i="30"/>
  <c r="V31" i="30" s="1"/>
  <c r="L11" i="31"/>
  <c r="V8" i="30"/>
  <c r="L10" i="31"/>
  <c r="BP25" i="33"/>
  <c r="BP18" i="33"/>
  <c r="AB8" i="31"/>
  <c r="AD19" i="31"/>
  <c r="AB19" i="31"/>
  <c r="AD8" i="31"/>
  <c r="AC8" i="31"/>
  <c r="AC19" i="31"/>
  <c r="AW103" i="33" l="1"/>
  <c r="BI106" i="86"/>
  <c r="BI108" i="86" s="1"/>
  <c r="BP11" i="86"/>
  <c r="X17" i="32"/>
  <c r="Z17" i="32" s="1"/>
  <c r="N100" i="33"/>
  <c r="L102" i="33"/>
  <c r="AQ92" i="86"/>
  <c r="AP92" i="33" s="1"/>
  <c r="BH106" i="86"/>
  <c r="BH108" i="86" s="1"/>
  <c r="AU103" i="33"/>
  <c r="AV103" i="33"/>
  <c r="BG106" i="86"/>
  <c r="BG108" i="86" s="1"/>
  <c r="BE12" i="86"/>
  <c r="X18" i="32"/>
  <c r="Z18" i="32" s="1"/>
  <c r="X13" i="32"/>
  <c r="Z13" i="32" s="1"/>
  <c r="W5" i="30"/>
  <c r="W6" i="30" s="1"/>
  <c r="AC24" i="31"/>
  <c r="AB24" i="31"/>
  <c r="X5" i="30"/>
  <c r="X6" i="30" s="1"/>
  <c r="AD24" i="31"/>
  <c r="BP8" i="86"/>
  <c r="BE7" i="86"/>
  <c r="BP10" i="86"/>
  <c r="BE26" i="86"/>
  <c r="BP26" i="86"/>
  <c r="V19" i="30"/>
  <c r="BE8" i="86"/>
  <c r="BP21" i="86"/>
  <c r="BE10" i="86"/>
  <c r="BP7" i="86"/>
  <c r="L19" i="31"/>
  <c r="V5" i="30"/>
  <c r="V6" i="30" s="1"/>
  <c r="L8" i="31"/>
  <c r="I37" i="45" l="1"/>
  <c r="W9" i="30"/>
  <c r="V26" i="30"/>
  <c r="X26" i="30" l="1"/>
  <c r="X28" i="30" s="1"/>
  <c r="X14" i="30"/>
  <c r="K21" i="30"/>
  <c r="K22" i="30"/>
  <c r="AC12" i="31"/>
  <c r="W10" i="30"/>
  <c r="AC58" i="31"/>
  <c r="AC59" i="31" s="1"/>
  <c r="AC41" i="31"/>
  <c r="AC57" i="31" s="1"/>
  <c r="W26" i="30"/>
  <c r="L9" i="30"/>
  <c r="W27" i="30"/>
  <c r="H37" i="31"/>
  <c r="V27" i="30"/>
  <c r="V28" i="30" s="1"/>
  <c r="J9" i="30"/>
  <c r="W28" i="30" l="1"/>
  <c r="W43" i="30" s="1"/>
  <c r="K23" i="30"/>
  <c r="V14" i="30"/>
  <c r="J22" i="30"/>
  <c r="J21" i="30"/>
  <c r="L22" i="30"/>
  <c r="L21" i="30"/>
  <c r="AB12" i="31"/>
  <c r="AD12" i="31"/>
  <c r="X10" i="30"/>
  <c r="X43" i="30" s="1"/>
  <c r="L37" i="31"/>
  <c r="V9" i="30"/>
  <c r="D37" i="31"/>
  <c r="AB58" i="31"/>
  <c r="AB41" i="31"/>
  <c r="AA58" i="31"/>
  <c r="AA41" i="31"/>
  <c r="AD25" i="31"/>
  <c r="AC25" i="31"/>
  <c r="U21" i="30"/>
  <c r="U9" i="30"/>
  <c r="U27" i="30"/>
  <c r="U22" i="30"/>
  <c r="AD15" i="31"/>
  <c r="AB15" i="31"/>
  <c r="AB30" i="31"/>
  <c r="AB33" i="31" s="1"/>
  <c r="AC15" i="31"/>
  <c r="AC23" i="31" s="1"/>
  <c r="AC30" i="31"/>
  <c r="AC33" i="31" s="1"/>
  <c r="C9" i="30" l="1"/>
  <c r="AB23" i="31"/>
  <c r="AD23" i="31"/>
  <c r="U23" i="30"/>
  <c r="L23" i="30"/>
  <c r="J23" i="30"/>
  <c r="K44" i="31"/>
  <c r="K43" i="31"/>
  <c r="L12" i="31"/>
  <c r="V10" i="30"/>
  <c r="V43" i="30" s="1"/>
  <c r="L15" i="31"/>
  <c r="AB25" i="31"/>
  <c r="L25" i="31" s="1"/>
  <c r="L24" i="31"/>
  <c r="AB57" i="31"/>
  <c r="AB59" i="31"/>
  <c r="P41" i="31"/>
  <c r="R41" i="31"/>
  <c r="AC63" i="31"/>
  <c r="AC64" i="31" s="1"/>
  <c r="AC35" i="31"/>
  <c r="AB35" i="31"/>
  <c r="L23" i="31" l="1"/>
  <c r="AB63" i="31"/>
  <c r="AB64" i="31" s="1"/>
  <c r="U26" i="30" l="1"/>
  <c r="U28" i="30" s="1"/>
  <c r="AE30" i="31" l="1"/>
  <c r="AE33" i="31" s="1"/>
  <c r="AE63" i="31" l="1"/>
  <c r="AE64" i="31" s="1"/>
  <c r="AE35" i="31"/>
  <c r="I9" i="30" l="1"/>
  <c r="AG27" i="30"/>
  <c r="I19" i="43"/>
  <c r="B13" i="30" l="1"/>
  <c r="F113" i="6" s="1"/>
  <c r="M113" i="6" s="1"/>
  <c r="K49" i="31"/>
  <c r="C49" i="31"/>
  <c r="G49" i="31"/>
  <c r="O41" i="31"/>
  <c r="F114" i="6" l="1"/>
  <c r="J113" i="6"/>
  <c r="J114" i="6" l="1"/>
  <c r="M114" i="6"/>
  <c r="AA18" i="31" l="1"/>
  <c r="AA7" i="31"/>
  <c r="AA11" i="31"/>
  <c r="AA14" i="31"/>
  <c r="U12" i="30" s="1"/>
  <c r="AA17" i="31"/>
  <c r="AA10" i="31"/>
  <c r="U8" i="30" s="1"/>
  <c r="D18" i="31" l="1"/>
  <c r="U17" i="30"/>
  <c r="D14" i="31"/>
  <c r="H14" i="31"/>
  <c r="U14" i="30"/>
  <c r="D10" i="31"/>
  <c r="H10" i="31"/>
  <c r="D11" i="31"/>
  <c r="U30" i="30"/>
  <c r="H11" i="31"/>
  <c r="D7" i="31"/>
  <c r="H7" i="31"/>
  <c r="H18" i="31"/>
  <c r="D17" i="31"/>
  <c r="H17" i="31"/>
  <c r="C30" i="30" l="1"/>
  <c r="U31" i="30"/>
  <c r="U10" i="30"/>
  <c r="O21" i="7" l="1"/>
  <c r="Q21" i="7" s="1"/>
  <c r="G286" i="6"/>
  <c r="M286" i="6" s="1"/>
  <c r="C31" i="30"/>
  <c r="C19" i="43"/>
  <c r="O22" i="7" l="1"/>
  <c r="Q22" i="7" s="1"/>
  <c r="C21" i="81"/>
  <c r="J286" i="6"/>
  <c r="AF22" i="30" l="1"/>
  <c r="AD22" i="30"/>
  <c r="AE22" i="30"/>
  <c r="AC22" i="30" l="1"/>
  <c r="H44" i="31"/>
  <c r="AA22" i="30"/>
  <c r="L44" i="31"/>
  <c r="I52" i="45"/>
  <c r="D44" i="31" l="1"/>
  <c r="AB22" i="30"/>
  <c r="AU62" i="31"/>
  <c r="C22" i="30" l="1"/>
  <c r="I46" i="43"/>
  <c r="I45" i="43"/>
  <c r="I28" i="43" l="1"/>
  <c r="S23" i="86" l="1"/>
  <c r="AB23" i="86" s="1"/>
  <c r="AT23" i="86" s="1"/>
  <c r="S51" i="86"/>
  <c r="AB51" i="86" s="1"/>
  <c r="AT51" i="86" s="1"/>
  <c r="S86" i="86"/>
  <c r="AB86" i="86" s="1"/>
  <c r="AT86" i="86" s="1"/>
  <c r="S58" i="86"/>
  <c r="AB58" i="86" s="1"/>
  <c r="AT58" i="86" s="1"/>
  <c r="S37" i="86"/>
  <c r="AB37" i="86" s="1"/>
  <c r="AT37" i="86" s="1"/>
  <c r="S30" i="86"/>
  <c r="AB30" i="86" s="1"/>
  <c r="AT30" i="86" s="1"/>
  <c r="S44" i="86"/>
  <c r="AB44" i="86" s="1"/>
  <c r="AT44" i="86" s="1"/>
  <c r="S79" i="86"/>
  <c r="AB79" i="86" s="1"/>
  <c r="AT79" i="86" s="1"/>
  <c r="S72" i="86"/>
  <c r="AB72" i="86" s="1"/>
  <c r="AT72" i="86" s="1"/>
  <c r="S65" i="86"/>
  <c r="AB65" i="86" s="1"/>
  <c r="AT65" i="86" s="1"/>
  <c r="S16" i="86"/>
  <c r="AB16" i="86" s="1"/>
  <c r="AT16" i="86" s="1"/>
  <c r="BC16" i="86" s="1"/>
  <c r="BE16" i="86" s="1"/>
  <c r="S9" i="86"/>
  <c r="AB9" i="86" s="1"/>
  <c r="AT9" i="86" s="1"/>
  <c r="BS9" i="86" s="1"/>
  <c r="I51" i="45"/>
  <c r="I50" i="45"/>
  <c r="I49" i="45"/>
  <c r="I48" i="45"/>
  <c r="I47" i="45"/>
  <c r="I46" i="45"/>
  <c r="I45" i="45"/>
  <c r="I44" i="45"/>
  <c r="I43" i="45"/>
  <c r="I42" i="45"/>
  <c r="I41" i="45"/>
  <c r="I40" i="45"/>
  <c r="I39" i="45"/>
  <c r="I38" i="45"/>
  <c r="BS72" i="86" l="1"/>
  <c r="BC72" i="86"/>
  <c r="S15" i="32"/>
  <c r="AT90" i="86"/>
  <c r="AS92" i="86" s="1"/>
  <c r="AR93" i="33" s="1"/>
  <c r="BC9" i="86"/>
  <c r="BP9" i="86" s="1"/>
  <c r="BS79" i="86"/>
  <c r="BC79" i="86"/>
  <c r="BS58" i="86"/>
  <c r="BC58" i="86"/>
  <c r="BS86" i="86"/>
  <c r="BC86" i="86"/>
  <c r="BS65" i="86"/>
  <c r="BC65" i="86"/>
  <c r="BS30" i="86"/>
  <c r="BC30" i="86"/>
  <c r="BS51" i="86"/>
  <c r="BC51" i="86"/>
  <c r="BS44" i="86"/>
  <c r="BC44" i="86"/>
  <c r="BS37" i="86"/>
  <c r="BC37" i="86"/>
  <c r="BS23" i="86"/>
  <c r="BC23" i="86"/>
  <c r="BE9" i="86" l="1"/>
  <c r="BE23" i="86"/>
  <c r="BP23" i="86"/>
  <c r="AR38" i="31"/>
  <c r="BP44" i="86"/>
  <c r="BE44" i="86"/>
  <c r="BP30" i="86"/>
  <c r="BE30" i="86"/>
  <c r="AX38" i="31"/>
  <c r="BP86" i="86"/>
  <c r="BE86" i="86"/>
  <c r="AW38" i="31"/>
  <c r="BE79" i="86"/>
  <c r="BP79" i="86"/>
  <c r="AV38" i="31"/>
  <c r="BP72" i="86"/>
  <c r="BE72" i="86"/>
  <c r="AQ38" i="31"/>
  <c r="BE37" i="86"/>
  <c r="BP37" i="86"/>
  <c r="AS38" i="31"/>
  <c r="BE51" i="86"/>
  <c r="BP51" i="86"/>
  <c r="AU38" i="31"/>
  <c r="BE65" i="86"/>
  <c r="BP65" i="86"/>
  <c r="AT38" i="31"/>
  <c r="BP58" i="86"/>
  <c r="BE58" i="86"/>
  <c r="X15" i="32"/>
  <c r="Z15" i="32" s="1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9" i="44"/>
  <c r="B8" i="44"/>
  <c r="B7" i="44"/>
  <c r="B6" i="44"/>
  <c r="B5" i="44"/>
  <c r="B4" i="44"/>
  <c r="B3" i="44"/>
  <c r="B2" i="44"/>
  <c r="AO13" i="30" l="1"/>
  <c r="AU58" i="31"/>
  <c r="AU59" i="31" s="1"/>
  <c r="AM13" i="30"/>
  <c r="AS58" i="31"/>
  <c r="AS59" i="31" s="1"/>
  <c r="AR13" i="30"/>
  <c r="AX58" i="31"/>
  <c r="AX59" i="31" s="1"/>
  <c r="AQ13" i="30"/>
  <c r="AW58" i="31"/>
  <c r="AW59" i="31" s="1"/>
  <c r="AN13" i="30"/>
  <c r="AT58" i="31"/>
  <c r="AT59" i="31" s="1"/>
  <c r="AP13" i="30"/>
  <c r="AV58" i="31"/>
  <c r="AV59" i="31" s="1"/>
  <c r="AL13" i="30"/>
  <c r="AR41" i="31"/>
  <c r="AR57" i="31" s="1"/>
  <c r="AR58" i="31"/>
  <c r="AK13" i="30"/>
  <c r="AQ41" i="31"/>
  <c r="AQ57" i="31" s="1"/>
  <c r="AQ58" i="31"/>
  <c r="AN70" i="33"/>
  <c r="AO82" i="33"/>
  <c r="AX82" i="33" s="1"/>
  <c r="AN87" i="33"/>
  <c r="AH75" i="33"/>
  <c r="AL80" i="33"/>
  <c r="AS80" i="33" s="1"/>
  <c r="AK89" i="33"/>
  <c r="AR89" i="33" s="1"/>
  <c r="AN75" i="33"/>
  <c r="AO85" i="33"/>
  <c r="AX85" i="33" s="1"/>
  <c r="AM78" i="33"/>
  <c r="AL70" i="33"/>
  <c r="AS70" i="33" s="1"/>
  <c r="AJ73" i="33"/>
  <c r="AQ73" i="33" s="1"/>
  <c r="AM86" i="33"/>
  <c r="AH80" i="33"/>
  <c r="AI78" i="33"/>
  <c r="AJ75" i="33"/>
  <c r="AQ75" i="33" s="1"/>
  <c r="AL82" i="33"/>
  <c r="AS82" i="33" s="1"/>
  <c r="AN81" i="33"/>
  <c r="AK82" i="33"/>
  <c r="AR82" i="33" s="1"/>
  <c r="AO74" i="33"/>
  <c r="AX74" i="33" s="1"/>
  <c r="AM74" i="33"/>
  <c r="AJ82" i="33"/>
  <c r="AQ82" i="33" s="1"/>
  <c r="AO86" i="33"/>
  <c r="AX86" i="33" s="1"/>
  <c r="AO88" i="33"/>
  <c r="AX88" i="33" s="1"/>
  <c r="AN88" i="33"/>
  <c r="AH85" i="33"/>
  <c r="AM87" i="33"/>
  <c r="AM89" i="33"/>
  <c r="AL81" i="33"/>
  <c r="AG81" i="33"/>
  <c r="AG78" i="33"/>
  <c r="Y18" i="31" s="1"/>
  <c r="AH79" i="33"/>
  <c r="AO77" i="33"/>
  <c r="AX77" i="33" s="1"/>
  <c r="AO79" i="33"/>
  <c r="AX79" i="33" s="1"/>
  <c r="AI80" i="33"/>
  <c r="AI82" i="33"/>
  <c r="AJ71" i="33"/>
  <c r="AQ71" i="33" s="1"/>
  <c r="AI71" i="33"/>
  <c r="AO71" i="33"/>
  <c r="AX71" i="33" s="1"/>
  <c r="AI72" i="33"/>
  <c r="AI74" i="33"/>
  <c r="AK72" i="33"/>
  <c r="AR72" i="33" s="1"/>
  <c r="AG73" i="33"/>
  <c r="AI79" i="33"/>
  <c r="AO89" i="33"/>
  <c r="AX89" i="33" s="1"/>
  <c r="AL87" i="33"/>
  <c r="AS87" i="33" s="1"/>
  <c r="AH82" i="33"/>
  <c r="AG75" i="33"/>
  <c r="X7" i="31" s="1"/>
  <c r="AK73" i="33"/>
  <c r="AR73" i="33" s="1"/>
  <c r="AJ80" i="33"/>
  <c r="AQ80" i="33" s="1"/>
  <c r="AG74" i="33"/>
  <c r="AL89" i="33"/>
  <c r="AS89" i="33" s="1"/>
  <c r="AX87" i="33"/>
  <c r="AJ79" i="33"/>
  <c r="AQ79" i="33" s="1"/>
  <c r="AH89" i="33"/>
  <c r="AM84" i="33"/>
  <c r="AM79" i="33"/>
  <c r="AG85" i="33"/>
  <c r="Z18" i="31" s="1"/>
  <c r="AJ81" i="33"/>
  <c r="AQ81" i="33" s="1"/>
  <c r="AH73" i="33"/>
  <c r="AM77" i="33"/>
  <c r="AH87" i="33"/>
  <c r="AK84" i="33"/>
  <c r="AR84" i="33" s="1"/>
  <c r="AH84" i="33"/>
  <c r="AJ86" i="33"/>
  <c r="AQ86" i="33" s="1"/>
  <c r="AH88" i="33"/>
  <c r="AJ84" i="33"/>
  <c r="AQ84" i="33" s="1"/>
  <c r="AI85" i="33"/>
  <c r="AO78" i="33"/>
  <c r="AX78" i="33" s="1"/>
  <c r="AG77" i="33"/>
  <c r="Y17" i="31" s="1"/>
  <c r="AN78" i="33"/>
  <c r="AG79" i="33"/>
  <c r="AK71" i="33"/>
  <c r="AR71" i="33" s="1"/>
  <c r="AL71" i="33"/>
  <c r="AS71" i="33" s="1"/>
  <c r="AH74" i="33"/>
  <c r="AH72" i="33"/>
  <c r="AN72" i="33"/>
  <c r="AK70" i="33"/>
  <c r="AR70" i="33" s="1"/>
  <c r="AI81" i="33"/>
  <c r="AH78" i="33"/>
  <c r="AN82" i="33"/>
  <c r="AL77" i="33"/>
  <c r="AS77" i="33" s="1"/>
  <c r="AJ74" i="33"/>
  <c r="AQ74" i="33" s="1"/>
  <c r="AK75" i="33"/>
  <c r="AR75" i="33" s="1"/>
  <c r="AK87" i="33"/>
  <c r="AR87" i="33" s="1"/>
  <c r="AG82" i="33"/>
  <c r="Y7" i="31" s="1"/>
  <c r="AI70" i="33"/>
  <c r="AM70" i="33"/>
  <c r="AL86" i="33"/>
  <c r="AI87" i="33"/>
  <c r="AO81" i="33"/>
  <c r="AX81" i="33" s="1"/>
  <c r="AM80" i="33"/>
  <c r="AN71" i="33"/>
  <c r="AJ72" i="33"/>
  <c r="AQ72" i="33" s="1"/>
  <c r="AL72" i="33"/>
  <c r="AG87" i="33"/>
  <c r="AO73" i="33"/>
  <c r="AX73" i="33" s="1"/>
  <c r="AJ87" i="33"/>
  <c r="AQ87" i="33" s="1"/>
  <c r="AN73" i="33"/>
  <c r="AH86" i="33"/>
  <c r="AI84" i="33"/>
  <c r="AL73" i="33"/>
  <c r="AS73" i="33" s="1"/>
  <c r="AG84" i="33"/>
  <c r="Z17" i="31" s="1"/>
  <c r="AK88" i="33"/>
  <c r="AR88" i="33" s="1"/>
  <c r="AL84" i="33"/>
  <c r="AS84" i="33" s="1"/>
  <c r="AK85" i="33"/>
  <c r="AR85" i="33" s="1"/>
  <c r="AM88" i="33"/>
  <c r="AJ88" i="33"/>
  <c r="AQ88" i="33" s="1"/>
  <c r="AN84" i="33"/>
  <c r="AN85" i="33"/>
  <c r="AK77" i="33"/>
  <c r="AR77" i="33" s="1"/>
  <c r="AN89" i="33"/>
  <c r="AH77" i="33"/>
  <c r="AM82" i="33"/>
  <c r="AM72" i="33"/>
  <c r="AJ89" i="33"/>
  <c r="AQ89" i="33" s="1"/>
  <c r="AL85" i="33"/>
  <c r="AS85" i="33" s="1"/>
  <c r="AN79" i="33"/>
  <c r="AJ77" i="33"/>
  <c r="AQ77" i="33" s="1"/>
  <c r="AG89" i="33"/>
  <c r="Z7" i="31" s="1"/>
  <c r="AN80" i="33"/>
  <c r="AO75" i="33"/>
  <c r="AX75" i="33" s="1"/>
  <c r="AL78" i="33"/>
  <c r="AS78" i="33" s="1"/>
  <c r="AN77" i="33"/>
  <c r="AG80" i="33"/>
  <c r="AI86" i="33"/>
  <c r="AL88" i="33"/>
  <c r="AG88" i="33"/>
  <c r="AM85" i="33"/>
  <c r="AI88" i="33"/>
  <c r="AH81" i="33"/>
  <c r="AL79" i="33"/>
  <c r="AH71" i="33"/>
  <c r="AN74" i="33"/>
  <c r="AO70" i="33"/>
  <c r="AX70" i="33" s="1"/>
  <c r="AO72" i="33"/>
  <c r="AX72" i="33" s="1"/>
  <c r="AM73" i="33"/>
  <c r="AM75" i="33"/>
  <c r="AK81" i="33"/>
  <c r="AR81" i="33" s="1"/>
  <c r="AM81" i="33"/>
  <c r="AK78" i="33"/>
  <c r="AR78" i="33" s="1"/>
  <c r="AL74" i="33"/>
  <c r="AH70" i="33"/>
  <c r="AK86" i="33"/>
  <c r="AR86" i="33" s="1"/>
  <c r="AK80" i="33"/>
  <c r="AR80" i="33" s="1"/>
  <c r="AL75" i="33"/>
  <c r="AS75" i="33" s="1"/>
  <c r="AO80" i="33"/>
  <c r="AX80" i="33" s="1"/>
  <c r="AJ70" i="33"/>
  <c r="AQ70" i="33" s="1"/>
  <c r="AG86" i="33"/>
  <c r="AI77" i="33"/>
  <c r="AJ85" i="33"/>
  <c r="AQ85" i="33" s="1"/>
  <c r="AO84" i="33"/>
  <c r="AX84" i="33" s="1"/>
  <c r="AN86" i="33"/>
  <c r="AI89" i="33"/>
  <c r="AJ78" i="33"/>
  <c r="AQ78" i="33" s="1"/>
  <c r="AK79" i="33"/>
  <c r="AR79" i="33" s="1"/>
  <c r="AM71" i="33"/>
  <c r="AG71" i="33"/>
  <c r="X18" i="31" s="1"/>
  <c r="AG70" i="33"/>
  <c r="X17" i="31" s="1"/>
  <c r="AG72" i="33"/>
  <c r="AK74" i="33"/>
  <c r="AR74" i="33" s="1"/>
  <c r="AI73" i="33"/>
  <c r="AI75" i="33"/>
  <c r="AJ64" i="33"/>
  <c r="AQ64" i="33" s="1"/>
  <c r="AJ63" i="33"/>
  <c r="AQ63" i="33" s="1"/>
  <c r="AL64" i="33"/>
  <c r="AS64" i="33" s="1"/>
  <c r="AM63" i="33"/>
  <c r="AL56" i="33"/>
  <c r="AS56" i="33" s="1"/>
  <c r="AH64" i="33"/>
  <c r="AI63" i="33"/>
  <c r="AJ56" i="33"/>
  <c r="AQ56" i="33" s="1"/>
  <c r="AH56" i="33"/>
  <c r="AM56" i="33"/>
  <c r="AI56" i="33"/>
  <c r="AN64" i="33"/>
  <c r="AK63" i="33"/>
  <c r="AR63" i="33" s="1"/>
  <c r="AH63" i="33"/>
  <c r="AO64" i="33"/>
  <c r="AX64" i="33" s="1"/>
  <c r="AK57" i="33"/>
  <c r="AR57" i="33" s="1"/>
  <c r="AO56" i="33"/>
  <c r="AX56" i="33" s="1"/>
  <c r="AN56" i="33"/>
  <c r="AN63" i="33"/>
  <c r="AO63" i="33"/>
  <c r="AX63" i="33" s="1"/>
  <c r="AL63" i="33"/>
  <c r="AS63" i="33" s="1"/>
  <c r="AH57" i="33"/>
  <c r="AO57" i="33"/>
  <c r="AX57" i="33" s="1"/>
  <c r="AI57" i="33"/>
  <c r="AJ57" i="33"/>
  <c r="AQ57" i="33" s="1"/>
  <c r="AI64" i="33"/>
  <c r="AG64" i="33"/>
  <c r="W18" i="31" s="1"/>
  <c r="AL57" i="33"/>
  <c r="AS57" i="33" s="1"/>
  <c r="AM57" i="33"/>
  <c r="AG56" i="33"/>
  <c r="V17" i="31" s="1"/>
  <c r="AN57" i="33"/>
  <c r="AM64" i="33"/>
  <c r="AG63" i="33"/>
  <c r="W17" i="31" s="1"/>
  <c r="AK64" i="33"/>
  <c r="AR64" i="33" s="1"/>
  <c r="AG57" i="33"/>
  <c r="V18" i="31" s="1"/>
  <c r="AK56" i="33"/>
  <c r="AR56" i="33" s="1"/>
  <c r="AH59" i="33"/>
  <c r="AK59" i="33"/>
  <c r="AR59" i="33" s="1"/>
  <c r="AI59" i="33"/>
  <c r="AO60" i="33"/>
  <c r="AX60" i="33" s="1"/>
  <c r="AI60" i="33"/>
  <c r="AH60" i="33"/>
  <c r="AO58" i="33"/>
  <c r="AX58" i="33" s="1"/>
  <c r="AG58" i="33"/>
  <c r="AO61" i="33"/>
  <c r="AX61" i="33" s="1"/>
  <c r="AL61" i="33"/>
  <c r="AS61" i="33" s="1"/>
  <c r="AL59" i="33"/>
  <c r="AS59" i="33" s="1"/>
  <c r="AM59" i="33"/>
  <c r="AK60" i="33"/>
  <c r="AR60" i="33" s="1"/>
  <c r="AM58" i="33"/>
  <c r="AH58" i="33"/>
  <c r="AG61" i="33"/>
  <c r="V7" i="31" s="1"/>
  <c r="AI61" i="33"/>
  <c r="AO59" i="33"/>
  <c r="AX59" i="33" s="1"/>
  <c r="AJ59" i="33"/>
  <c r="AQ59" i="33" s="1"/>
  <c r="AJ60" i="33"/>
  <c r="AQ60" i="33" s="1"/>
  <c r="AM60" i="33"/>
  <c r="AL60" i="33"/>
  <c r="AI58" i="33"/>
  <c r="AJ58" i="33"/>
  <c r="AQ58" i="33" s="1"/>
  <c r="AK58" i="33"/>
  <c r="AR58" i="33" s="1"/>
  <c r="AJ61" i="33"/>
  <c r="AQ61" i="33" s="1"/>
  <c r="AK61" i="33"/>
  <c r="AR61" i="33" s="1"/>
  <c r="AM61" i="33"/>
  <c r="AN59" i="33"/>
  <c r="AG59" i="33"/>
  <c r="AG60" i="33"/>
  <c r="AN60" i="33"/>
  <c r="AL58" i="33"/>
  <c r="AN58" i="33"/>
  <c r="AN61" i="33"/>
  <c r="AH61" i="33"/>
  <c r="AM67" i="33"/>
  <c r="AN67" i="33"/>
  <c r="AG68" i="33"/>
  <c r="W7" i="31" s="1"/>
  <c r="AH68" i="33"/>
  <c r="AI68" i="33"/>
  <c r="AJ66" i="33"/>
  <c r="AQ66" i="33" s="1"/>
  <c r="AI65" i="33"/>
  <c r="AO65" i="33"/>
  <c r="AX65" i="33" s="1"/>
  <c r="AL65" i="33"/>
  <c r="AO67" i="33"/>
  <c r="AX67" i="33" s="1"/>
  <c r="AK67" i="33"/>
  <c r="AR67" i="33" s="1"/>
  <c r="AO68" i="33"/>
  <c r="AX68" i="33" s="1"/>
  <c r="AN68" i="33"/>
  <c r="AM68" i="33"/>
  <c r="AL66" i="33"/>
  <c r="AS66" i="33" s="1"/>
  <c r="AH66" i="33"/>
  <c r="AJ65" i="33"/>
  <c r="AQ65" i="33" s="1"/>
  <c r="AJ67" i="33"/>
  <c r="AQ67" i="33" s="1"/>
  <c r="AH67" i="33"/>
  <c r="AG67" i="33"/>
  <c r="AJ68" i="33"/>
  <c r="AQ68" i="33" s="1"/>
  <c r="AK68" i="33"/>
  <c r="AR68" i="33" s="1"/>
  <c r="AG66" i="33"/>
  <c r="AN66" i="33"/>
  <c r="AI66" i="33"/>
  <c r="AM65" i="33"/>
  <c r="AK65" i="33"/>
  <c r="AR65" i="33" s="1"/>
  <c r="AH65" i="33"/>
  <c r="AL67" i="33"/>
  <c r="AI67" i="33"/>
  <c r="AL68" i="33"/>
  <c r="AS68" i="33" s="1"/>
  <c r="AO66" i="33"/>
  <c r="AX66" i="33" s="1"/>
  <c r="AK66" i="33"/>
  <c r="AR66" i="33" s="1"/>
  <c r="AM66" i="33"/>
  <c r="AG65" i="33"/>
  <c r="AN65" i="33"/>
  <c r="AO49" i="33"/>
  <c r="AX49" i="33" s="1"/>
  <c r="AG49" i="33"/>
  <c r="U17" i="31" s="1"/>
  <c r="AM49" i="33"/>
  <c r="AI49" i="33"/>
  <c r="AH49" i="33"/>
  <c r="AK49" i="33"/>
  <c r="AR49" i="33" s="1"/>
  <c r="AK50" i="33"/>
  <c r="AR50" i="33" s="1"/>
  <c r="AN50" i="33"/>
  <c r="AG50" i="33"/>
  <c r="U18" i="31" s="1"/>
  <c r="AJ50" i="33"/>
  <c r="AQ50" i="33" s="1"/>
  <c r="AM50" i="33"/>
  <c r="AO50" i="33"/>
  <c r="AX50" i="33" s="1"/>
  <c r="AN49" i="33"/>
  <c r="AI50" i="33"/>
  <c r="AH50" i="33"/>
  <c r="AL50" i="33"/>
  <c r="AS50" i="33" s="1"/>
  <c r="AL49" i="33"/>
  <c r="AS49" i="33" s="1"/>
  <c r="AJ49" i="33"/>
  <c r="AQ49" i="33" s="1"/>
  <c r="AH51" i="33"/>
  <c r="AJ51" i="33"/>
  <c r="AQ51" i="33" s="1"/>
  <c r="AM51" i="33"/>
  <c r="AN52" i="33"/>
  <c r="AI52" i="33"/>
  <c r="AM53" i="33"/>
  <c r="AO53" i="33"/>
  <c r="AX53" i="33" s="1"/>
  <c r="AM54" i="33"/>
  <c r="AG54" i="33"/>
  <c r="U7" i="31" s="1"/>
  <c r="AO51" i="33"/>
  <c r="AX51" i="33" s="1"/>
  <c r="AI51" i="33"/>
  <c r="AO52" i="33"/>
  <c r="AX52" i="33" s="1"/>
  <c r="AJ52" i="33"/>
  <c r="AQ52" i="33" s="1"/>
  <c r="AM52" i="33"/>
  <c r="AI53" i="33"/>
  <c r="AG53" i="33"/>
  <c r="AJ53" i="33"/>
  <c r="AQ53" i="33" s="1"/>
  <c r="AI54" i="33"/>
  <c r="AK51" i="33"/>
  <c r="AR51" i="33" s="1"/>
  <c r="AN51" i="33"/>
  <c r="AK52" i="33"/>
  <c r="AR52" i="33" s="1"/>
  <c r="AL52" i="33"/>
  <c r="AS52" i="33" s="1"/>
  <c r="AL53" i="33"/>
  <c r="AN53" i="33"/>
  <c r="AN54" i="33"/>
  <c r="AH54" i="33"/>
  <c r="AL54" i="33"/>
  <c r="AS54" i="33" s="1"/>
  <c r="AL51" i="33"/>
  <c r="AG51" i="33"/>
  <c r="AG52" i="33"/>
  <c r="AH52" i="33"/>
  <c r="AH53" i="33"/>
  <c r="AK53" i="33"/>
  <c r="AR53" i="33" s="1"/>
  <c r="AJ54" i="33"/>
  <c r="AQ54" i="33" s="1"/>
  <c r="AO54" i="33"/>
  <c r="AX54" i="33" s="1"/>
  <c r="AK54" i="33"/>
  <c r="AR54" i="33" s="1"/>
  <c r="AJ42" i="33"/>
  <c r="AQ42" i="33" s="1"/>
  <c r="AO46" i="33"/>
  <c r="AX46" i="33" s="1"/>
  <c r="AH43" i="33"/>
  <c r="Y44" i="33"/>
  <c r="AK45" i="33"/>
  <c r="AR45" i="33" s="1"/>
  <c r="AG42" i="33"/>
  <c r="T17" i="31" s="1"/>
  <c r="AH44" i="33"/>
  <c r="AM44" i="33"/>
  <c r="AH46" i="33"/>
  <c r="AN43" i="33"/>
  <c r="AN45" i="33"/>
  <c r="AI43" i="33"/>
  <c r="AL44" i="33"/>
  <c r="AL45" i="33"/>
  <c r="AS45" i="33" s="1"/>
  <c r="AI47" i="33"/>
  <c r="AL47" i="33"/>
  <c r="AS47" i="33" s="1"/>
  <c r="AH42" i="33"/>
  <c r="AG46" i="33"/>
  <c r="AH45" i="33"/>
  <c r="AO47" i="33"/>
  <c r="AX47" i="33" s="1"/>
  <c r="AO45" i="33"/>
  <c r="AX45" i="33" s="1"/>
  <c r="AJ45" i="33"/>
  <c r="AQ45" i="33" s="1"/>
  <c r="AK44" i="33"/>
  <c r="AR44" i="33" s="1"/>
  <c r="AH47" i="33"/>
  <c r="AO43" i="33"/>
  <c r="AX43" i="33" s="1"/>
  <c r="AJ47" i="33"/>
  <c r="AQ47" i="33" s="1"/>
  <c r="AG44" i="33"/>
  <c r="AM43" i="33"/>
  <c r="AN46" i="33"/>
  <c r="AL43" i="33"/>
  <c r="AS43" i="33" s="1"/>
  <c r="AG47" i="33"/>
  <c r="T7" i="31" s="1"/>
  <c r="AN47" i="33"/>
  <c r="AN44" i="33"/>
  <c r="AN42" i="33"/>
  <c r="AM42" i="33"/>
  <c r="Y46" i="33"/>
  <c r="AI42" i="33"/>
  <c r="AG45" i="33"/>
  <c r="AJ43" i="33"/>
  <c r="AQ43" i="33" s="1"/>
  <c r="AL42" i="33"/>
  <c r="AS42" i="33" s="1"/>
  <c r="AO44" i="33"/>
  <c r="AX44" i="33" s="1"/>
  <c r="AJ44" i="33"/>
  <c r="AG43" i="33"/>
  <c r="T18" i="31" s="1"/>
  <c r="AI45" i="33"/>
  <c r="AJ46" i="33"/>
  <c r="AM47" i="33"/>
  <c r="AK42" i="33"/>
  <c r="AR42" i="33" s="1"/>
  <c r="AM45" i="33"/>
  <c r="AM46" i="33"/>
  <c r="AK46" i="33"/>
  <c r="AR46" i="33" s="1"/>
  <c r="AI44" i="33"/>
  <c r="AK43" i="33"/>
  <c r="AR43" i="33" s="1"/>
  <c r="AI46" i="33"/>
  <c r="AK47" i="33"/>
  <c r="AR47" i="33" s="1"/>
  <c r="AL46" i="33"/>
  <c r="AO42" i="33"/>
  <c r="AX42" i="33" s="1"/>
  <c r="AO40" i="33"/>
  <c r="AX40" i="33" s="1"/>
  <c r="AL39" i="33"/>
  <c r="AK38" i="33"/>
  <c r="AR38" i="33" s="1"/>
  <c r="AJ37" i="33"/>
  <c r="AN39" i="33"/>
  <c r="AN37" i="33"/>
  <c r="AJ36" i="33"/>
  <c r="AQ36" i="33" s="1"/>
  <c r="AH40" i="33"/>
  <c r="AL38" i="33"/>
  <c r="AS38" i="33" s="1"/>
  <c r="AL36" i="33"/>
  <c r="AS36" i="33" s="1"/>
  <c r="AI37" i="33"/>
  <c r="AM38" i="33"/>
  <c r="AM36" i="33"/>
  <c r="AO36" i="33"/>
  <c r="AX36" i="33" s="1"/>
  <c r="AN38" i="33"/>
  <c r="AH35" i="33"/>
  <c r="AG35" i="33"/>
  <c r="S17" i="31" s="1"/>
  <c r="AK35" i="33"/>
  <c r="AR35" i="33" s="1"/>
  <c r="AG40" i="33"/>
  <c r="S7" i="31" s="1"/>
  <c r="AJ39" i="33"/>
  <c r="AM37" i="33"/>
  <c r="AJ38" i="33"/>
  <c r="AQ38" i="33" s="1"/>
  <c r="AK39" i="33"/>
  <c r="AR39" i="33" s="1"/>
  <c r="AI38" i="33"/>
  <c r="AL40" i="33"/>
  <c r="AS40" i="33" s="1"/>
  <c r="AO38" i="33"/>
  <c r="AX38" i="33" s="1"/>
  <c r="AK36" i="33"/>
  <c r="AR36" i="33" s="1"/>
  <c r="AN35" i="33"/>
  <c r="AL35" i="33"/>
  <c r="AS35" i="33" s="1"/>
  <c r="AH37" i="33"/>
  <c r="AM39" i="33"/>
  <c r="AN36" i="33"/>
  <c r="AI39" i="33"/>
  <c r="AJ40" i="33"/>
  <c r="AQ40" i="33" s="1"/>
  <c r="AK40" i="33"/>
  <c r="AR40" i="33" s="1"/>
  <c r="AK37" i="33"/>
  <c r="AR37" i="33" s="1"/>
  <c r="Y39" i="33"/>
  <c r="AO37" i="33"/>
  <c r="AX37" i="33" s="1"/>
  <c r="AL37" i="33"/>
  <c r="AH36" i="33"/>
  <c r="AJ35" i="33"/>
  <c r="AQ35" i="33" s="1"/>
  <c r="AO35" i="33"/>
  <c r="AX35" i="33" s="1"/>
  <c r="AM40" i="33"/>
  <c r="AH39" i="33"/>
  <c r="AG37" i="33"/>
  <c r="AG36" i="33"/>
  <c r="S18" i="31" s="1"/>
  <c r="AO39" i="33"/>
  <c r="AX39" i="33" s="1"/>
  <c r="AG39" i="33"/>
  <c r="AM35" i="33"/>
  <c r="AI36" i="33"/>
  <c r="AN40" i="33"/>
  <c r="Y37" i="33"/>
  <c r="AI35" i="33"/>
  <c r="AI40" i="33"/>
  <c r="AH38" i="33"/>
  <c r="AG38" i="33"/>
  <c r="AM31" i="33"/>
  <c r="AO29" i="33"/>
  <c r="AX29" i="33" s="1"/>
  <c r="AI32" i="33"/>
  <c r="AL30" i="33"/>
  <c r="AG28" i="33"/>
  <c r="R17" i="31" s="1"/>
  <c r="AJ32" i="33"/>
  <c r="AJ29" i="33"/>
  <c r="AQ29" i="33" s="1"/>
  <c r="AN32" i="33"/>
  <c r="AL33" i="33"/>
  <c r="AS33" i="33" s="1"/>
  <c r="AL29" i="33"/>
  <c r="AS29" i="33" s="1"/>
  <c r="AL28" i="33"/>
  <c r="AS28" i="33" s="1"/>
  <c r="AN28" i="33"/>
  <c r="AI28" i="33"/>
  <c r="AM28" i="33"/>
  <c r="AO32" i="33"/>
  <c r="AX32" i="33" s="1"/>
  <c r="AG29" i="33"/>
  <c r="R18" i="31" s="1"/>
  <c r="AJ30" i="33"/>
  <c r="AN31" i="33"/>
  <c r="AM33" i="33"/>
  <c r="AM32" i="33"/>
  <c r="AO33" i="33"/>
  <c r="AX33" i="33" s="1"/>
  <c r="AJ28" i="33"/>
  <c r="AQ28" i="33" s="1"/>
  <c r="AH28" i="33"/>
  <c r="Y30" i="33"/>
  <c r="AK31" i="33"/>
  <c r="AR31" i="33" s="1"/>
  <c r="AI31" i="33"/>
  <c r="AG33" i="33"/>
  <c r="R7" i="31" s="1"/>
  <c r="AO28" i="33"/>
  <c r="AX28" i="33" s="1"/>
  <c r="AM29" i="33"/>
  <c r="AL32" i="33"/>
  <c r="AK28" i="33"/>
  <c r="AR28" i="33" s="1"/>
  <c r="AJ33" i="33"/>
  <c r="AQ33" i="33" s="1"/>
  <c r="AH31" i="33"/>
  <c r="AH30" i="33"/>
  <c r="AG31" i="33"/>
  <c r="AJ31" i="33"/>
  <c r="AQ31" i="33" s="1"/>
  <c r="AH29" i="33"/>
  <c r="AK33" i="33"/>
  <c r="AR33" i="33" s="1"/>
  <c r="AO31" i="33"/>
  <c r="AX31" i="33" s="1"/>
  <c r="AK32" i="33"/>
  <c r="AR32" i="33" s="1"/>
  <c r="AM30" i="33"/>
  <c r="AO30" i="33"/>
  <c r="AX30" i="33" s="1"/>
  <c r="AG30" i="33"/>
  <c r="AI30" i="33"/>
  <c r="AH33" i="33"/>
  <c r="AI29" i="33"/>
  <c r="AK30" i="33"/>
  <c r="AR30" i="33" s="1"/>
  <c r="AN30" i="33"/>
  <c r="AG32" i="33"/>
  <c r="AI33" i="33"/>
  <c r="AN29" i="33"/>
  <c r="AL31" i="33"/>
  <c r="AS31" i="33" s="1"/>
  <c r="AH32" i="33"/>
  <c r="AN33" i="33"/>
  <c r="AK29" i="33"/>
  <c r="AR29" i="33" s="1"/>
  <c r="Y32" i="33"/>
  <c r="L16" i="30" l="1"/>
  <c r="L17" i="30"/>
  <c r="O16" i="30"/>
  <c r="P16" i="30"/>
  <c r="N17" i="30"/>
  <c r="O17" i="30"/>
  <c r="Q16" i="30"/>
  <c r="M17" i="30"/>
  <c r="N16" i="30"/>
  <c r="R16" i="30"/>
  <c r="T16" i="30"/>
  <c r="S17" i="30"/>
  <c r="M16" i="30"/>
  <c r="P17" i="30"/>
  <c r="Q17" i="30"/>
  <c r="R17" i="30"/>
  <c r="S16" i="30"/>
  <c r="T17" i="30"/>
  <c r="Z11" i="31"/>
  <c r="AP73" i="33"/>
  <c r="BN73" i="33" s="1"/>
  <c r="Z14" i="31"/>
  <c r="BO80" i="33"/>
  <c r="Z10" i="31"/>
  <c r="AP45" i="33"/>
  <c r="BN45" i="33" s="1"/>
  <c r="AP40" i="33"/>
  <c r="AZ40" i="33" s="1"/>
  <c r="AQ7" i="31" s="1"/>
  <c r="AQ37" i="33"/>
  <c r="BO40" i="33"/>
  <c r="S11" i="31"/>
  <c r="W10" i="31"/>
  <c r="V14" i="31"/>
  <c r="U11" i="31"/>
  <c r="X11" i="31"/>
  <c r="Y11" i="31"/>
  <c r="W14" i="31"/>
  <c r="T14" i="31"/>
  <c r="V11" i="31"/>
  <c r="X14" i="31"/>
  <c r="R10" i="31"/>
  <c r="W11" i="31"/>
  <c r="R14" i="31"/>
  <c r="S14" i="31"/>
  <c r="Y14" i="31"/>
  <c r="R11" i="31"/>
  <c r="T10" i="31"/>
  <c r="V10" i="31"/>
  <c r="X10" i="31"/>
  <c r="S10" i="31"/>
  <c r="T11" i="31"/>
  <c r="U10" i="31"/>
  <c r="U14" i="31"/>
  <c r="Y10" i="31"/>
  <c r="BO85" i="33"/>
  <c r="BO56" i="33"/>
  <c r="AP75" i="33"/>
  <c r="AZ75" i="33" s="1"/>
  <c r="BO78" i="33"/>
  <c r="AP77" i="33"/>
  <c r="BN77" i="33" s="1"/>
  <c r="AP88" i="33"/>
  <c r="BO82" i="33"/>
  <c r="AP89" i="33"/>
  <c r="BN89" i="33" s="1"/>
  <c r="BO77" i="33"/>
  <c r="BO87" i="33"/>
  <c r="AP85" i="33"/>
  <c r="AZ85" i="33" s="1"/>
  <c r="AX18" i="31" s="1"/>
  <c r="AR17" i="30" s="1"/>
  <c r="AP67" i="33"/>
  <c r="BO75" i="33"/>
  <c r="AP72" i="33"/>
  <c r="BN72" i="33" s="1"/>
  <c r="BO64" i="33"/>
  <c r="AP81" i="33"/>
  <c r="BN81" i="33" s="1"/>
  <c r="BO84" i="33"/>
  <c r="AP71" i="33"/>
  <c r="AP78" i="33"/>
  <c r="BO89" i="33"/>
  <c r="AP87" i="33"/>
  <c r="AP70" i="33"/>
  <c r="BO71" i="33"/>
  <c r="AP82" i="33"/>
  <c r="AP86" i="33"/>
  <c r="BO73" i="33"/>
  <c r="AP79" i="33"/>
  <c r="BO61" i="33"/>
  <c r="BO59" i="33"/>
  <c r="AP84" i="33"/>
  <c r="BO70" i="33"/>
  <c r="AP74" i="33"/>
  <c r="AP80" i="33"/>
  <c r="AP68" i="33"/>
  <c r="AZ68" i="33" s="1"/>
  <c r="BO57" i="33"/>
  <c r="BO63" i="33"/>
  <c r="BO68" i="33"/>
  <c r="AP58" i="33"/>
  <c r="AP61" i="33"/>
  <c r="AP59" i="33"/>
  <c r="AP57" i="33"/>
  <c r="AP56" i="33"/>
  <c r="BO66" i="33"/>
  <c r="AP60" i="33"/>
  <c r="AP63" i="33"/>
  <c r="AP66" i="33"/>
  <c r="AP65" i="33"/>
  <c r="AP64" i="33"/>
  <c r="AP53" i="33"/>
  <c r="BN53" i="33" s="1"/>
  <c r="BO42" i="33"/>
  <c r="AP49" i="33"/>
  <c r="BN49" i="33" s="1"/>
  <c r="BO43" i="33"/>
  <c r="AP54" i="33"/>
  <c r="BN54" i="33" s="1"/>
  <c r="AP50" i="33"/>
  <c r="BO54" i="33"/>
  <c r="BO52" i="33"/>
  <c r="AP52" i="33"/>
  <c r="BO50" i="33"/>
  <c r="BO49" i="33"/>
  <c r="AP51" i="33"/>
  <c r="U8" i="31"/>
  <c r="BO47" i="33"/>
  <c r="AP42" i="33"/>
  <c r="AF46" i="33"/>
  <c r="W46" i="33"/>
  <c r="AP46" i="33" s="1"/>
  <c r="AP47" i="33"/>
  <c r="W44" i="33"/>
  <c r="AP44" i="33" s="1"/>
  <c r="AF44" i="33"/>
  <c r="AP43" i="33"/>
  <c r="BO45" i="33"/>
  <c r="AQ44" i="33"/>
  <c r="AQ32" i="33"/>
  <c r="AP29" i="33"/>
  <c r="BN29" i="33" s="1"/>
  <c r="AQ46" i="33"/>
  <c r="BO36" i="33"/>
  <c r="AP36" i="33"/>
  <c r="BN36" i="33" s="1"/>
  <c r="AP33" i="33"/>
  <c r="AZ33" i="33" s="1"/>
  <c r="BO28" i="33"/>
  <c r="AP38" i="33"/>
  <c r="BN38" i="33" s="1"/>
  <c r="AF37" i="33"/>
  <c r="W37" i="33"/>
  <c r="AP37" i="33" s="1"/>
  <c r="AQ30" i="33"/>
  <c r="AP28" i="33"/>
  <c r="BN28" i="33" s="1"/>
  <c r="AQ39" i="33"/>
  <c r="BO35" i="33"/>
  <c r="AF39" i="33"/>
  <c r="W39" i="33"/>
  <c r="AP39" i="33" s="1"/>
  <c r="BO38" i="33"/>
  <c r="BO33" i="33"/>
  <c r="AP35" i="33"/>
  <c r="AP31" i="33"/>
  <c r="W32" i="33"/>
  <c r="AP32" i="33" s="1"/>
  <c r="AF32" i="33"/>
  <c r="BO29" i="33"/>
  <c r="BO31" i="33"/>
  <c r="AF30" i="33"/>
  <c r="W30" i="33"/>
  <c r="AP30" i="33" s="1"/>
  <c r="T8" i="31"/>
  <c r="V8" i="31"/>
  <c r="X8" i="31"/>
  <c r="Z8" i="31"/>
  <c r="V19" i="31"/>
  <c r="W19" i="31"/>
  <c r="Y19" i="31"/>
  <c r="X19" i="31"/>
  <c r="Z19" i="31"/>
  <c r="N19" i="30" l="1"/>
  <c r="R19" i="30"/>
  <c r="Q19" i="30"/>
  <c r="T19" i="30"/>
  <c r="S19" i="30"/>
  <c r="M19" i="30"/>
  <c r="O19" i="30"/>
  <c r="L19" i="30"/>
  <c r="P19" i="30"/>
  <c r="L30" i="30"/>
  <c r="L31" i="30" s="1"/>
  <c r="L12" i="30"/>
  <c r="L14" i="30" s="1"/>
  <c r="Q12" i="30"/>
  <c r="Q14" i="30" s="1"/>
  <c r="O12" i="30"/>
  <c r="O14" i="30" s="1"/>
  <c r="S12" i="30"/>
  <c r="S14" i="30" s="1"/>
  <c r="N12" i="30"/>
  <c r="N14" i="30" s="1"/>
  <c r="S30" i="30"/>
  <c r="S31" i="30" s="1"/>
  <c r="P12" i="30"/>
  <c r="P14" i="30" s="1"/>
  <c r="T12" i="30"/>
  <c r="T14" i="30" s="1"/>
  <c r="M12" i="30"/>
  <c r="M14" i="30" s="1"/>
  <c r="Q30" i="30"/>
  <c r="Q31" i="30" s="1"/>
  <c r="R12" i="30"/>
  <c r="R14" i="30" s="1"/>
  <c r="R30" i="30"/>
  <c r="R31" i="30" s="1"/>
  <c r="N30" i="30"/>
  <c r="N31" i="30" s="1"/>
  <c r="P30" i="30"/>
  <c r="P31" i="30" s="1"/>
  <c r="O30" i="30"/>
  <c r="O31" i="30" s="1"/>
  <c r="M30" i="30"/>
  <c r="M31" i="30" s="1"/>
  <c r="T8" i="30"/>
  <c r="T30" i="30"/>
  <c r="T31" i="30" s="1"/>
  <c r="V24" i="31"/>
  <c r="V25" i="31" s="1"/>
  <c r="Z24" i="31"/>
  <c r="Z25" i="31" s="1"/>
  <c r="X24" i="31"/>
  <c r="X25" i="31" s="1"/>
  <c r="U24" i="31"/>
  <c r="U25" i="31" s="1"/>
  <c r="T24" i="31"/>
  <c r="AZ73" i="33"/>
  <c r="BB73" i="33" s="1"/>
  <c r="AZ45" i="33"/>
  <c r="BB45" i="33" s="1"/>
  <c r="BN40" i="33"/>
  <c r="W15" i="31"/>
  <c r="BN88" i="33"/>
  <c r="Q8" i="30"/>
  <c r="W12" i="31"/>
  <c r="O5" i="30"/>
  <c r="O6" i="30" s="1"/>
  <c r="S12" i="31"/>
  <c r="M8" i="30"/>
  <c r="T5" i="30"/>
  <c r="T6" i="30" s="1"/>
  <c r="O8" i="30"/>
  <c r="U12" i="31"/>
  <c r="R8" i="30"/>
  <c r="X12" i="31"/>
  <c r="R5" i="30"/>
  <c r="R6" i="30" s="1"/>
  <c r="N5" i="30"/>
  <c r="N6" i="30" s="1"/>
  <c r="Z12" i="31"/>
  <c r="T12" i="31"/>
  <c r="N8" i="30"/>
  <c r="R12" i="31"/>
  <c r="L8" i="30"/>
  <c r="P5" i="30"/>
  <c r="P6" i="30" s="1"/>
  <c r="S8" i="30"/>
  <c r="Y12" i="31"/>
  <c r="P8" i="30"/>
  <c r="V12" i="31"/>
  <c r="AZ50" i="33"/>
  <c r="AZ89" i="33"/>
  <c r="BB89" i="33" s="1"/>
  <c r="BN75" i="33"/>
  <c r="BN85" i="33"/>
  <c r="AZ77" i="33"/>
  <c r="BL77" i="33" s="1"/>
  <c r="AZ49" i="33"/>
  <c r="BL49" i="33" s="1"/>
  <c r="AZ54" i="33"/>
  <c r="BB54" i="33" s="1"/>
  <c r="BN67" i="33"/>
  <c r="BN79" i="33"/>
  <c r="BN87" i="33"/>
  <c r="AZ87" i="33"/>
  <c r="AX11" i="31" s="1"/>
  <c r="AR30" i="30" s="1"/>
  <c r="AR31" i="30" s="1"/>
  <c r="BN68" i="33"/>
  <c r="BN80" i="33"/>
  <c r="AZ80" i="33"/>
  <c r="AW11" i="31" s="1"/>
  <c r="AQ30" i="30" s="1"/>
  <c r="AQ31" i="30" s="1"/>
  <c r="BN84" i="33"/>
  <c r="AZ84" i="33"/>
  <c r="BB85" i="33"/>
  <c r="BL85" i="33"/>
  <c r="BN86" i="33"/>
  <c r="BN78" i="33"/>
  <c r="AZ78" i="33"/>
  <c r="AW18" i="31" s="1"/>
  <c r="AQ17" i="30" s="1"/>
  <c r="BN74" i="33"/>
  <c r="BN82" i="33"/>
  <c r="AZ82" i="33"/>
  <c r="BN70" i="33"/>
  <c r="AZ70" i="33"/>
  <c r="BL75" i="33"/>
  <c r="BB75" i="33"/>
  <c r="AZ71" i="33"/>
  <c r="AV18" i="31" s="1"/>
  <c r="AP17" i="30" s="1"/>
  <c r="BN71" i="33"/>
  <c r="BN50" i="33"/>
  <c r="AZ29" i="33"/>
  <c r="BL29" i="33" s="1"/>
  <c r="BN33" i="33"/>
  <c r="BN66" i="33"/>
  <c r="AZ66" i="33"/>
  <c r="AU11" i="31" s="1"/>
  <c r="AO30" i="30" s="1"/>
  <c r="AO31" i="30" s="1"/>
  <c r="BN56" i="33"/>
  <c r="AZ56" i="33"/>
  <c r="AT17" i="31" s="1"/>
  <c r="BN58" i="33"/>
  <c r="AZ64" i="33"/>
  <c r="AU18" i="31" s="1"/>
  <c r="AO17" i="30" s="1"/>
  <c r="BN64" i="33"/>
  <c r="BN63" i="33"/>
  <c r="AZ63" i="33"/>
  <c r="BN60" i="33"/>
  <c r="BN57" i="33"/>
  <c r="AZ57" i="33"/>
  <c r="AT18" i="31" s="1"/>
  <c r="AN17" i="30" s="1"/>
  <c r="BN59" i="33"/>
  <c r="AZ59" i="33"/>
  <c r="AT11" i="31" s="1"/>
  <c r="AN30" i="30" s="1"/>
  <c r="AN31" i="30" s="1"/>
  <c r="AZ61" i="33"/>
  <c r="BN61" i="33"/>
  <c r="BN65" i="33"/>
  <c r="BL68" i="33"/>
  <c r="BB68" i="33"/>
  <c r="U19" i="31"/>
  <c r="BN51" i="33"/>
  <c r="AZ52" i="33"/>
  <c r="AS11" i="31" s="1"/>
  <c r="AM30" i="30" s="1"/>
  <c r="AM31" i="30" s="1"/>
  <c r="BN52" i="33"/>
  <c r="BN46" i="33"/>
  <c r="BN44" i="33"/>
  <c r="BN47" i="33"/>
  <c r="AZ47" i="33"/>
  <c r="AZ42" i="33"/>
  <c r="AR17" i="31" s="1"/>
  <c r="BN42" i="33"/>
  <c r="AZ43" i="33"/>
  <c r="BN43" i="33"/>
  <c r="AZ36" i="33"/>
  <c r="AZ28" i="33"/>
  <c r="BB28" i="33" s="1"/>
  <c r="AZ38" i="33"/>
  <c r="BB40" i="33"/>
  <c r="BL40" i="33"/>
  <c r="BN35" i="33"/>
  <c r="AZ35" i="33"/>
  <c r="AQ17" i="31" s="1"/>
  <c r="BN39" i="33"/>
  <c r="BN37" i="33"/>
  <c r="BL33" i="33"/>
  <c r="BB33" i="33"/>
  <c r="BN32" i="33"/>
  <c r="BN30" i="33"/>
  <c r="AZ31" i="33"/>
  <c r="BB31" i="33" s="1"/>
  <c r="BN31" i="33"/>
  <c r="T19" i="31"/>
  <c r="S8" i="31"/>
  <c r="U15" i="31"/>
  <c r="X15" i="31"/>
  <c r="Z15" i="31"/>
  <c r="Y15" i="31"/>
  <c r="V15" i="31"/>
  <c r="T15" i="31"/>
  <c r="S15" i="31"/>
  <c r="Y25" i="33"/>
  <c r="Y16" i="33"/>
  <c r="Y18" i="33"/>
  <c r="Y23" i="33"/>
  <c r="AI26" i="33"/>
  <c r="AI25" i="33"/>
  <c r="AO24" i="33"/>
  <c r="AX24" i="33" s="1"/>
  <c r="AM23" i="33"/>
  <c r="AN22" i="33"/>
  <c r="AJ21" i="33"/>
  <c r="AQ21" i="33" s="1"/>
  <c r="AO18" i="33"/>
  <c r="AX18" i="33" s="1"/>
  <c r="AG18" i="33"/>
  <c r="AN17" i="33"/>
  <c r="AO16" i="33"/>
  <c r="AX16" i="33" s="1"/>
  <c r="AH16" i="33"/>
  <c r="AL14" i="33"/>
  <c r="AS14" i="33" s="1"/>
  <c r="AM25" i="33"/>
  <c r="AG23" i="33"/>
  <c r="AO26" i="33"/>
  <c r="AX26" i="33" s="1"/>
  <c r="AG26" i="33"/>
  <c r="Q7" i="31" s="1"/>
  <c r="AO25" i="33"/>
  <c r="AX25" i="33" s="1"/>
  <c r="AH25" i="33"/>
  <c r="AK24" i="33"/>
  <c r="AR24" i="33" s="1"/>
  <c r="AK23" i="33"/>
  <c r="AR23" i="33" s="1"/>
  <c r="AJ22" i="33"/>
  <c r="AQ22" i="33" s="1"/>
  <c r="AL18" i="33"/>
  <c r="AM16" i="33"/>
  <c r="AO15" i="33"/>
  <c r="AX15" i="33" s="1"/>
  <c r="AI14" i="33"/>
  <c r="AL26" i="33"/>
  <c r="AS26" i="33" s="1"/>
  <c r="AJ24" i="33"/>
  <c r="AQ24" i="33" s="1"/>
  <c r="AK18" i="33"/>
  <c r="AR18" i="33" s="1"/>
  <c r="AK16" i="33"/>
  <c r="AR16" i="33" s="1"/>
  <c r="AH14" i="33"/>
  <c r="AK26" i="33"/>
  <c r="AR26" i="33" s="1"/>
  <c r="AK25" i="33"/>
  <c r="AR25" i="33" s="1"/>
  <c r="AI24" i="33"/>
  <c r="AN21" i="33"/>
  <c r="AH18" i="33"/>
  <c r="AI16" i="33"/>
  <c r="AJ15" i="33"/>
  <c r="AQ15" i="33" s="1"/>
  <c r="AK15" i="33"/>
  <c r="AR15" i="33" s="1"/>
  <c r="AL22" i="33"/>
  <c r="AS22" i="33" s="1"/>
  <c r="AI23" i="33"/>
  <c r="AK22" i="33"/>
  <c r="AR22" i="33" s="1"/>
  <c r="AG24" i="33"/>
  <c r="AN24" i="33"/>
  <c r="AL25" i="33"/>
  <c r="AO19" i="33"/>
  <c r="AX19" i="33" s="1"/>
  <c r="AJ14" i="33"/>
  <c r="AQ14" i="33" s="1"/>
  <c r="AG15" i="33"/>
  <c r="P18" i="31" s="1"/>
  <c r="AG16" i="33"/>
  <c r="AN19" i="33"/>
  <c r="AM19" i="33"/>
  <c r="AL19" i="33"/>
  <c r="AS19" i="33" s="1"/>
  <c r="AH19" i="33"/>
  <c r="AH17" i="33"/>
  <c r="AK14" i="33"/>
  <c r="AR14" i="33" s="1"/>
  <c r="AG19" i="33"/>
  <c r="P7" i="31" s="1"/>
  <c r="AI18" i="33"/>
  <c r="AN18" i="33"/>
  <c r="AM18" i="33"/>
  <c r="AN23" i="33"/>
  <c r="AG21" i="33"/>
  <c r="Q17" i="31" s="1"/>
  <c r="AO22" i="33"/>
  <c r="AX22" i="33" s="1"/>
  <c r="AI21" i="33"/>
  <c r="AI22" i="33"/>
  <c r="AJ23" i="33"/>
  <c r="AL24" i="33"/>
  <c r="AS24" i="33" s="1"/>
  <c r="AN25" i="33"/>
  <c r="AN26" i="33"/>
  <c r="AN14" i="33"/>
  <c r="AM15" i="33"/>
  <c r="AL16" i="33"/>
  <c r="AI17" i="33"/>
  <c r="AJ19" i="33"/>
  <c r="AQ19" i="33" s="1"/>
  <c r="AI19" i="33"/>
  <c r="AO17" i="33"/>
  <c r="AX17" i="33" s="1"/>
  <c r="AO14" i="33"/>
  <c r="AX14" i="33" s="1"/>
  <c r="AH21" i="33"/>
  <c r="AL23" i="33"/>
  <c r="AK21" i="33"/>
  <c r="AR21" i="33" s="1"/>
  <c r="AM21" i="33"/>
  <c r="AM22" i="33"/>
  <c r="AO23" i="33"/>
  <c r="AX23" i="33" s="1"/>
  <c r="AH24" i="33"/>
  <c r="AJ25" i="33"/>
  <c r="AJ26" i="33"/>
  <c r="AQ26" i="33" s="1"/>
  <c r="AH26" i="33"/>
  <c r="AM14" i="33"/>
  <c r="AN16" i="33"/>
  <c r="AK19" i="33"/>
  <c r="AR19" i="33" s="1"/>
  <c r="AK17" i="33"/>
  <c r="AR17" i="33" s="1"/>
  <c r="AJ17" i="33"/>
  <c r="AQ17" i="33" s="1"/>
  <c r="AL15" i="33"/>
  <c r="AS15" i="33" s="1"/>
  <c r="AI15" i="33"/>
  <c r="AM17" i="33"/>
  <c r="AG25" i="33"/>
  <c r="AM26" i="33"/>
  <c r="AG17" i="33"/>
  <c r="AH15" i="33"/>
  <c r="AL21" i="33"/>
  <c r="AS21" i="33" s="1"/>
  <c r="AH22" i="33"/>
  <c r="AO21" i="33"/>
  <c r="AX21" i="33" s="1"/>
  <c r="AG22" i="33"/>
  <c r="Q18" i="31" s="1"/>
  <c r="AJ16" i="33"/>
  <c r="AJ18" i="33"/>
  <c r="AM24" i="33"/>
  <c r="AH23" i="33"/>
  <c r="AL17" i="33"/>
  <c r="AS17" i="33" s="1"/>
  <c r="AG14" i="33"/>
  <c r="P17" i="31" s="1"/>
  <c r="AN15" i="33"/>
  <c r="BO15" i="33" l="1"/>
  <c r="BB50" i="33"/>
  <c r="AS18" i="31"/>
  <c r="AM17" i="30" s="1"/>
  <c r="BL73" i="33"/>
  <c r="AV11" i="31"/>
  <c r="AP30" i="30" s="1"/>
  <c r="AP31" i="30" s="1"/>
  <c r="R10" i="30"/>
  <c r="R43" i="30" s="1"/>
  <c r="Q10" i="30"/>
  <c r="P10" i="30"/>
  <c r="P43" i="30" s="1"/>
  <c r="M10" i="30"/>
  <c r="T10" i="30"/>
  <c r="T43" i="30" s="1"/>
  <c r="N10" i="30"/>
  <c r="N43" i="30" s="1"/>
  <c r="L10" i="30"/>
  <c r="J17" i="30"/>
  <c r="S24" i="31"/>
  <c r="AL16" i="30"/>
  <c r="AN16" i="30"/>
  <c r="AN19" i="30" s="1"/>
  <c r="K17" i="30"/>
  <c r="AK16" i="30"/>
  <c r="K16" i="30"/>
  <c r="BL45" i="33"/>
  <c r="AR11" i="31"/>
  <c r="P11" i="31"/>
  <c r="BL50" i="33"/>
  <c r="BB36" i="33"/>
  <c r="AQ18" i="31"/>
  <c r="BB38" i="33"/>
  <c r="AQ11" i="31"/>
  <c r="X23" i="31"/>
  <c r="V23" i="31"/>
  <c r="T23" i="31"/>
  <c r="Z23" i="31"/>
  <c r="U23" i="31"/>
  <c r="Q11" i="31"/>
  <c r="P14" i="31"/>
  <c r="Q10" i="31"/>
  <c r="Q14" i="31"/>
  <c r="J16" i="30"/>
  <c r="K17" i="31"/>
  <c r="K18" i="31"/>
  <c r="P10" i="31"/>
  <c r="M5" i="30"/>
  <c r="M6" i="30" s="1"/>
  <c r="K25" i="31"/>
  <c r="BL89" i="33"/>
  <c r="BB77" i="33"/>
  <c r="BL54" i="33"/>
  <c r="BB49" i="33"/>
  <c r="BL36" i="33"/>
  <c r="BB71" i="33"/>
  <c r="BL71" i="33"/>
  <c r="BL82" i="33"/>
  <c r="BB82" i="33"/>
  <c r="BL78" i="33"/>
  <c r="BB78" i="33"/>
  <c r="BL80" i="33"/>
  <c r="BB80" i="33"/>
  <c r="BB87" i="33"/>
  <c r="BL87" i="33"/>
  <c r="BL84" i="33"/>
  <c r="BB84" i="33"/>
  <c r="BL70" i="33"/>
  <c r="BB70" i="33"/>
  <c r="BB29" i="33"/>
  <c r="BL57" i="33"/>
  <c r="BB57" i="33"/>
  <c r="BL63" i="33"/>
  <c r="BB63" i="33"/>
  <c r="BL56" i="33"/>
  <c r="BB56" i="33"/>
  <c r="BL66" i="33"/>
  <c r="BB66" i="33"/>
  <c r="BL61" i="33"/>
  <c r="BB61" i="33"/>
  <c r="BL64" i="33"/>
  <c r="BB64" i="33"/>
  <c r="BL59" i="33"/>
  <c r="BB59" i="33"/>
  <c r="BL52" i="33"/>
  <c r="BB52" i="33"/>
  <c r="BB43" i="33"/>
  <c r="BL43" i="33"/>
  <c r="BL42" i="33"/>
  <c r="BB42" i="33"/>
  <c r="BL47" i="33"/>
  <c r="BB47" i="33"/>
  <c r="AR7" i="31"/>
  <c r="AR8" i="31" s="1"/>
  <c r="BL28" i="33"/>
  <c r="BL38" i="33"/>
  <c r="BL35" i="33"/>
  <c r="BB35" i="33"/>
  <c r="BL31" i="33"/>
  <c r="AF25" i="33"/>
  <c r="AR18" i="31"/>
  <c r="AU7" i="31"/>
  <c r="AU8" i="31" s="1"/>
  <c r="BO19" i="33"/>
  <c r="S19" i="31"/>
  <c r="S23" i="31" s="1"/>
  <c r="AS7" i="31"/>
  <c r="AS8" i="31" s="1"/>
  <c r="AW17" i="31"/>
  <c r="AU17" i="31"/>
  <c r="K7" i="31"/>
  <c r="Q8" i="31"/>
  <c r="AT7" i="31"/>
  <c r="AT8" i="31" s="1"/>
  <c r="AV7" i="31"/>
  <c r="AV8" i="31" s="1"/>
  <c r="AW7" i="31"/>
  <c r="AW8" i="31" s="1"/>
  <c r="AV17" i="31"/>
  <c r="AS17" i="31"/>
  <c r="BO22" i="33"/>
  <c r="AQ8" i="31"/>
  <c r="AP24" i="33"/>
  <c r="BN24" i="33" s="1"/>
  <c r="BO26" i="33"/>
  <c r="AP15" i="33"/>
  <c r="AZ15" i="33" s="1"/>
  <c r="AP21" i="33"/>
  <c r="AZ21" i="33" s="1"/>
  <c r="AP17" i="33"/>
  <c r="AZ17" i="33" s="1"/>
  <c r="AP22" i="33"/>
  <c r="AP14" i="33"/>
  <c r="W18" i="33"/>
  <c r="AP18" i="33" s="1"/>
  <c r="AF18" i="33"/>
  <c r="AF23" i="33"/>
  <c r="W23" i="33"/>
  <c r="AP23" i="33" s="1"/>
  <c r="AQ18" i="33"/>
  <c r="AQ25" i="33"/>
  <c r="W25" i="33"/>
  <c r="AP25" i="33" s="1"/>
  <c r="W16" i="33"/>
  <c r="AP16" i="33" s="1"/>
  <c r="AF16" i="33"/>
  <c r="BO17" i="33"/>
  <c r="BO21" i="33"/>
  <c r="AP19" i="33"/>
  <c r="AQ23" i="33"/>
  <c r="BO14" i="33"/>
  <c r="BO24" i="33"/>
  <c r="AP26" i="33"/>
  <c r="AQ16" i="33"/>
  <c r="M43" i="30" l="1"/>
  <c r="K19" i="30"/>
  <c r="K12" i="30"/>
  <c r="K14" i="30" s="1"/>
  <c r="AK17" i="30"/>
  <c r="AM16" i="30"/>
  <c r="AO16" i="30"/>
  <c r="AO19" i="30" s="1"/>
  <c r="AL17" i="30"/>
  <c r="AL19" i="30" s="1"/>
  <c r="AP16" i="30"/>
  <c r="AP19" i="30" s="1"/>
  <c r="AQ16" i="30"/>
  <c r="AQ19" i="30" s="1"/>
  <c r="J12" i="30"/>
  <c r="J14" i="30" s="1"/>
  <c r="AK30" i="30"/>
  <c r="AK31" i="30" s="1"/>
  <c r="J30" i="30"/>
  <c r="J31" i="30" s="1"/>
  <c r="K30" i="30"/>
  <c r="K31" i="30" s="1"/>
  <c r="AL30" i="30"/>
  <c r="AL31" i="30" s="1"/>
  <c r="K5" i="30"/>
  <c r="K6" i="30" s="1"/>
  <c r="Q24" i="31"/>
  <c r="AO5" i="30"/>
  <c r="AO6" i="30" s="1"/>
  <c r="AL5" i="30"/>
  <c r="AL6" i="30" s="1"/>
  <c r="AQ5" i="30"/>
  <c r="AQ6" i="30" s="1"/>
  <c r="AK5" i="30"/>
  <c r="AK6" i="30" s="1"/>
  <c r="AP5" i="30"/>
  <c r="AP6" i="30" s="1"/>
  <c r="AN5" i="30"/>
  <c r="AN6" i="30" s="1"/>
  <c r="AM5" i="30"/>
  <c r="AM6" i="30" s="1"/>
  <c r="K11" i="31"/>
  <c r="K14" i="31"/>
  <c r="J19" i="30"/>
  <c r="Q12" i="31"/>
  <c r="K8" i="30"/>
  <c r="J8" i="30"/>
  <c r="K10" i="31"/>
  <c r="P12" i="31"/>
  <c r="P8" i="31"/>
  <c r="AR19" i="31"/>
  <c r="BL17" i="33"/>
  <c r="BB17" i="33"/>
  <c r="AT19" i="31"/>
  <c r="AU19" i="31"/>
  <c r="R8" i="31"/>
  <c r="AV19" i="31"/>
  <c r="AW19" i="31"/>
  <c r="AZ24" i="33"/>
  <c r="BN21" i="33"/>
  <c r="BN15" i="33"/>
  <c r="BN17" i="33"/>
  <c r="BB21" i="33"/>
  <c r="BL21" i="33"/>
  <c r="BN25" i="33"/>
  <c r="BN18" i="33"/>
  <c r="BN16" i="33"/>
  <c r="BL15" i="33"/>
  <c r="BB15" i="33"/>
  <c r="BN23" i="33"/>
  <c r="AZ26" i="33"/>
  <c r="BN26" i="33"/>
  <c r="AZ19" i="33"/>
  <c r="BN19" i="33"/>
  <c r="AZ14" i="33"/>
  <c r="BN14" i="33"/>
  <c r="BN22" i="33"/>
  <c r="AZ22" i="33"/>
  <c r="J10" i="30" l="1"/>
  <c r="P24" i="31"/>
  <c r="L5" i="30"/>
  <c r="L6" i="30" s="1"/>
  <c r="L43" i="30" s="1"/>
  <c r="R24" i="31"/>
  <c r="K12" i="31"/>
  <c r="K8" i="31"/>
  <c r="J5" i="30"/>
  <c r="J6" i="30" s="1"/>
  <c r="AK19" i="30"/>
  <c r="AQ19" i="31"/>
  <c r="BL24" i="33"/>
  <c r="BB24" i="33"/>
  <c r="BL14" i="33"/>
  <c r="BB14" i="33"/>
  <c r="BL19" i="33"/>
  <c r="BB19" i="33"/>
  <c r="BL22" i="33"/>
  <c r="BB22" i="33"/>
  <c r="BB26" i="33"/>
  <c r="BL26" i="33"/>
  <c r="J43" i="30" l="1"/>
  <c r="AB26" i="30" l="1"/>
  <c r="AF26" i="30"/>
  <c r="AD26" i="30"/>
  <c r="AE26" i="30"/>
  <c r="AA26" i="30" l="1"/>
  <c r="L28" i="31"/>
  <c r="H28" i="31"/>
  <c r="AC26" i="30"/>
  <c r="D28" i="31"/>
  <c r="C26" i="30" l="1"/>
  <c r="AA30" i="31"/>
  <c r="AA33" i="31" s="1"/>
  <c r="AD30" i="31"/>
  <c r="AD33" i="31" s="1"/>
  <c r="AA35" i="31" l="1"/>
  <c r="AD35" i="31"/>
  <c r="AI30" i="31" l="1"/>
  <c r="AC27" i="30"/>
  <c r="AC28" i="30" s="1"/>
  <c r="H29" i="31"/>
  <c r="AA27" i="30"/>
  <c r="AA28" i="30" s="1"/>
  <c r="L29" i="31"/>
  <c r="AJ30" i="31"/>
  <c r="AD27" i="30"/>
  <c r="AD28" i="30" s="1"/>
  <c r="AH30" i="31"/>
  <c r="AB27" i="30"/>
  <c r="AB28" i="30" s="1"/>
  <c r="AK30" i="31"/>
  <c r="AK33" i="31" s="1"/>
  <c r="AE27" i="30"/>
  <c r="AE28" i="30" s="1"/>
  <c r="AL30" i="31"/>
  <c r="AL33" i="31" s="1"/>
  <c r="AF27" i="30"/>
  <c r="AF28" i="30" s="1"/>
  <c r="AG30" i="31"/>
  <c r="AG33" i="31" s="1"/>
  <c r="D29" i="31"/>
  <c r="AJ35" i="31" l="1"/>
  <c r="AJ33" i="31"/>
  <c r="AI35" i="31"/>
  <c r="AI33" i="31"/>
  <c r="AH35" i="31"/>
  <c r="AH33" i="31"/>
  <c r="AL35" i="31"/>
  <c r="AK35" i="31"/>
  <c r="I29" i="31"/>
  <c r="D30" i="31"/>
  <c r="D56" i="31" s="1"/>
  <c r="L30" i="31"/>
  <c r="H30" i="31"/>
  <c r="C27" i="30"/>
  <c r="C28" i="30" s="1"/>
  <c r="AG35" i="31"/>
  <c r="AV30" i="31"/>
  <c r="AU30" i="31"/>
  <c r="AW30" i="31"/>
  <c r="AT30" i="31"/>
  <c r="AX30" i="31"/>
  <c r="G252" i="6" l="1"/>
  <c r="C19" i="81" s="1"/>
  <c r="D33" i="31"/>
  <c r="AW33" i="31"/>
  <c r="AW35" i="31" s="1"/>
  <c r="AT33" i="31"/>
  <c r="AT35" i="31" s="1"/>
  <c r="AU33" i="31"/>
  <c r="AU35" i="31" s="1"/>
  <c r="AX33" i="31"/>
  <c r="AX35" i="31" s="1"/>
  <c r="AV33" i="31"/>
  <c r="AV35" i="31" s="1"/>
  <c r="H33" i="31"/>
  <c r="H35" i="31"/>
  <c r="L33" i="31"/>
  <c r="L35" i="31"/>
  <c r="M252" i="6" l="1"/>
  <c r="D19" i="81"/>
  <c r="J252" i="6"/>
  <c r="M29" i="31" l="1"/>
  <c r="AS30" i="31"/>
  <c r="AS33" i="31" s="1"/>
  <c r="AS35" i="31" l="1"/>
  <c r="AD14" i="30" l="1"/>
  <c r="AE14" i="30"/>
  <c r="AB14" i="30"/>
  <c r="AF14" i="30" l="1"/>
  <c r="AA14" i="30"/>
  <c r="AC14" i="30"/>
  <c r="AL41" i="31"/>
  <c r="AG41" i="31"/>
  <c r="AJ41" i="31"/>
  <c r="AH41" i="31"/>
  <c r="AI41" i="31"/>
  <c r="AK41" i="31"/>
  <c r="L41" i="31" l="1"/>
  <c r="H41" i="31"/>
  <c r="AU41" i="31"/>
  <c r="C13" i="30"/>
  <c r="D41" i="31"/>
  <c r="AX41" i="31" l="1"/>
  <c r="AV41" i="31"/>
  <c r="AT41" i="31"/>
  <c r="AW41" i="31"/>
  <c r="P9" i="33"/>
  <c r="F9" i="33"/>
  <c r="T9" i="33"/>
  <c r="F8" i="33"/>
  <c r="T8" i="33"/>
  <c r="P8" i="33"/>
  <c r="S12" i="33"/>
  <c r="N12" i="33"/>
  <c r="F12" i="33"/>
  <c r="U12" i="33"/>
  <c r="AE12" i="33" s="1"/>
  <c r="O12" i="33"/>
  <c r="G12" i="33"/>
  <c r="Q12" i="33"/>
  <c r="AF12" i="33"/>
  <c r="O8" i="33"/>
  <c r="S8" i="33"/>
  <c r="P11" i="33"/>
  <c r="U11" i="33"/>
  <c r="AE11" i="33" s="1"/>
  <c r="F11" i="33"/>
  <c r="N11" i="33"/>
  <c r="T11" i="33"/>
  <c r="AF8" i="33"/>
  <c r="Q8" i="33"/>
  <c r="U8" i="33"/>
  <c r="AE8" i="33" s="1"/>
  <c r="AF7" i="33"/>
  <c r="P7" i="33"/>
  <c r="G10" i="33"/>
  <c r="P10" i="33"/>
  <c r="U10" i="33"/>
  <c r="AE10" i="33" s="1"/>
  <c r="N8" i="33"/>
  <c r="G8" i="33"/>
  <c r="G7" i="33"/>
  <c r="O7" i="33"/>
  <c r="T7" i="33"/>
  <c r="G9" i="33"/>
  <c r="O9" i="33"/>
  <c r="S9" i="33"/>
  <c r="F10" i="33"/>
  <c r="N10" i="33"/>
  <c r="T10" i="33"/>
  <c r="U7" i="33"/>
  <c r="AE7" i="33" s="1"/>
  <c r="Q7" i="33"/>
  <c r="F7" i="33"/>
  <c r="S10" i="33"/>
  <c r="O10" i="33"/>
  <c r="AF10" i="33"/>
  <c r="N7" i="33"/>
  <c r="S7" i="33"/>
  <c r="N9" i="33"/>
  <c r="U9" i="33"/>
  <c r="AE9" i="33" s="1"/>
  <c r="Q10" i="33"/>
  <c r="O11" i="33"/>
  <c r="S11" i="33"/>
  <c r="P12" i="33"/>
  <c r="T12" i="33"/>
  <c r="D3" i="33"/>
  <c r="C11" i="32"/>
  <c r="C10" i="32"/>
  <c r="C9" i="32"/>
  <c r="C8" i="32"/>
  <c r="C7" i="32"/>
  <c r="A7" i="32"/>
  <c r="A8" i="32" s="1"/>
  <c r="A9" i="32" s="1"/>
  <c r="A10" i="32" s="1"/>
  <c r="A11" i="32" s="1"/>
  <c r="A13" i="32" s="1"/>
  <c r="A14" i="32" s="1"/>
  <c r="A15" i="32" s="1"/>
  <c r="A16" i="32" s="1"/>
  <c r="A17" i="32" s="1"/>
  <c r="A18" i="32" s="1"/>
  <c r="H163" i="33" l="1"/>
  <c r="I163" i="33" s="1"/>
  <c r="G165" i="33"/>
  <c r="G161" i="33"/>
  <c r="H162" i="33"/>
  <c r="I162" i="33" s="1"/>
  <c r="G164" i="33"/>
  <c r="G160" i="33"/>
  <c r="H165" i="33"/>
  <c r="I165" i="33" s="1"/>
  <c r="H161" i="33"/>
  <c r="I161" i="33" s="1"/>
  <c r="G163" i="33"/>
  <c r="H164" i="33"/>
  <c r="I164" i="33" s="1"/>
  <c r="H160" i="33"/>
  <c r="G162" i="33"/>
  <c r="F50" i="6"/>
  <c r="F51" i="6"/>
  <c r="G54" i="6"/>
  <c r="M54" i="6" s="1"/>
  <c r="G101" i="6"/>
  <c r="M101" i="6" s="1"/>
  <c r="H149" i="33"/>
  <c r="I149" i="33" s="1"/>
  <c r="H145" i="33"/>
  <c r="I145" i="33" s="1"/>
  <c r="H148" i="33"/>
  <c r="I148" i="33" s="1"/>
  <c r="H144" i="33"/>
  <c r="H147" i="33"/>
  <c r="I147" i="33" s="1"/>
  <c r="H146" i="33"/>
  <c r="I146" i="33" s="1"/>
  <c r="G146" i="33"/>
  <c r="H133" i="33"/>
  <c r="I133" i="33" s="1"/>
  <c r="H129" i="33"/>
  <c r="I129" i="33" s="1"/>
  <c r="G131" i="33"/>
  <c r="H125" i="33"/>
  <c r="I125" i="33" s="1"/>
  <c r="H121" i="33"/>
  <c r="I121" i="33" s="1"/>
  <c r="G123" i="33"/>
  <c r="H114" i="33"/>
  <c r="I114" i="33" s="1"/>
  <c r="G116" i="33"/>
  <c r="G112" i="33"/>
  <c r="G149" i="33"/>
  <c r="G145" i="33"/>
  <c r="H132" i="33"/>
  <c r="I132" i="33" s="1"/>
  <c r="H128" i="33"/>
  <c r="G130" i="33"/>
  <c r="H124" i="33"/>
  <c r="I124" i="33" s="1"/>
  <c r="H120" i="33"/>
  <c r="G122" i="33"/>
  <c r="H117" i="33"/>
  <c r="I117" i="33" s="1"/>
  <c r="H113" i="33"/>
  <c r="I113" i="33" s="1"/>
  <c r="G148" i="33"/>
  <c r="G144" i="33"/>
  <c r="H131" i="33"/>
  <c r="I131" i="33" s="1"/>
  <c r="G133" i="33"/>
  <c r="G129" i="33"/>
  <c r="H123" i="33"/>
  <c r="I123" i="33" s="1"/>
  <c r="G125" i="33"/>
  <c r="G121" i="33"/>
  <c r="H116" i="33"/>
  <c r="I116" i="33" s="1"/>
  <c r="H112" i="33"/>
  <c r="G114" i="33"/>
  <c r="G147" i="33"/>
  <c r="H130" i="33"/>
  <c r="I130" i="33" s="1"/>
  <c r="G132" i="33"/>
  <c r="G128" i="33"/>
  <c r="H122" i="33"/>
  <c r="I122" i="33" s="1"/>
  <c r="G124" i="33"/>
  <c r="G120" i="33"/>
  <c r="H115" i="33"/>
  <c r="I115" i="33" s="1"/>
  <c r="G117" i="33"/>
  <c r="G113" i="33"/>
  <c r="G115" i="33"/>
  <c r="H55" i="6"/>
  <c r="H102" i="6"/>
  <c r="F98" i="6"/>
  <c r="F97" i="6"/>
  <c r="AA21" i="30"/>
  <c r="AA23" i="30" s="1"/>
  <c r="AA43" i="30" s="1"/>
  <c r="BA11" i="33"/>
  <c r="AG45" i="31"/>
  <c r="AG58" i="31"/>
  <c r="AF21" i="30"/>
  <c r="AF23" i="30" s="1"/>
  <c r="AF43" i="30" s="1"/>
  <c r="D7" i="32"/>
  <c r="E11" i="32"/>
  <c r="BA10" i="33"/>
  <c r="BA12" i="33"/>
  <c r="BA9" i="33"/>
  <c r="BA7" i="33"/>
  <c r="AA12" i="33"/>
  <c r="BP7" i="33"/>
  <c r="W8" i="33"/>
  <c r="Z8" i="33"/>
  <c r="Z11" i="33"/>
  <c r="AA8" i="33"/>
  <c r="Z7" i="33"/>
  <c r="AM12" i="33"/>
  <c r="Z10" i="33"/>
  <c r="E8" i="32"/>
  <c r="D8" i="32"/>
  <c r="AA7" i="33"/>
  <c r="D10" i="32"/>
  <c r="AI12" i="33"/>
  <c r="BP12" i="33"/>
  <c r="AB7" i="33"/>
  <c r="W10" i="33"/>
  <c r="AB11" i="33"/>
  <c r="AN7" i="33"/>
  <c r="W12" i="33"/>
  <c r="BP8" i="33"/>
  <c r="BP9" i="33"/>
  <c r="BP10" i="33"/>
  <c r="D11" i="32"/>
  <c r="E9" i="32"/>
  <c r="E7" i="32"/>
  <c r="D9" i="32"/>
  <c r="AO9" i="33"/>
  <c r="AX9" i="33" s="1"/>
  <c r="AK7" i="33"/>
  <c r="AJ7" i="33"/>
  <c r="AK10" i="33"/>
  <c r="AJ9" i="33"/>
  <c r="AO8" i="33"/>
  <c r="AX8" i="33" s="1"/>
  <c r="AM10" i="33"/>
  <c r="W7" i="33"/>
  <c r="Z12" i="33"/>
  <c r="AB12" i="33"/>
  <c r="AH11" i="33"/>
  <c r="AK9" i="33"/>
  <c r="AA10" i="33"/>
  <c r="AL10" i="33"/>
  <c r="AI8" i="33"/>
  <c r="AG7" i="33"/>
  <c r="AK8" i="33"/>
  <c r="AB8" i="33"/>
  <c r="AB10" i="33"/>
  <c r="AO12" i="33"/>
  <c r="AL12" i="33"/>
  <c r="AG12" i="33"/>
  <c r="O7" i="31" s="1"/>
  <c r="AO11" i="33"/>
  <c r="AX11" i="33" s="1"/>
  <c r="AJ11" i="33"/>
  <c r="AL8" i="33"/>
  <c r="AN12" i="33"/>
  <c r="AH12" i="33"/>
  <c r="AK11" i="33"/>
  <c r="AN9" i="33"/>
  <c r="AI9" i="33"/>
  <c r="AM8" i="33"/>
  <c r="AH8" i="33"/>
  <c r="AJ12" i="33"/>
  <c r="AM11" i="33"/>
  <c r="AG11" i="33"/>
  <c r="AK12" i="33"/>
  <c r="AN11" i="33"/>
  <c r="AI11" i="33"/>
  <c r="AL9" i="33"/>
  <c r="AJ8" i="33"/>
  <c r="AL11" i="33"/>
  <c r="Y11" i="33"/>
  <c r="AI10" i="33"/>
  <c r="AH9" i="33"/>
  <c r="AI7" i="33"/>
  <c r="AG9" i="33"/>
  <c r="AJ10" i="33"/>
  <c r="AH10" i="33"/>
  <c r="AN8" i="33"/>
  <c r="AL7" i="33"/>
  <c r="AG8" i="33"/>
  <c r="O18" i="31" s="1"/>
  <c r="AH7" i="33"/>
  <c r="Z9" i="33"/>
  <c r="AB9" i="33"/>
  <c r="AN10" i="33"/>
  <c r="AM9" i="33"/>
  <c r="AO7" i="33"/>
  <c r="AX7" i="33" s="1"/>
  <c r="AO10" i="33"/>
  <c r="AX10" i="33" s="1"/>
  <c r="AG10" i="33"/>
  <c r="AM7" i="33"/>
  <c r="C6" i="32"/>
  <c r="E6" i="32" s="1"/>
  <c r="N99" i="6" l="1"/>
  <c r="P99" i="6" s="1"/>
  <c r="G254" i="6"/>
  <c r="F171" i="6"/>
  <c r="G175" i="6"/>
  <c r="I32" i="7"/>
  <c r="I28" i="7"/>
  <c r="J219" i="6"/>
  <c r="M219" i="6" s="1"/>
  <c r="E28" i="7"/>
  <c r="D21" i="5" s="1"/>
  <c r="J262" i="6"/>
  <c r="M262" i="6" s="1"/>
  <c r="G32" i="7"/>
  <c r="G28" i="7"/>
  <c r="E32" i="7"/>
  <c r="D23" i="5" s="1"/>
  <c r="G126" i="33"/>
  <c r="G150" i="33"/>
  <c r="M136" i="33" s="1"/>
  <c r="I144" i="33"/>
  <c r="I150" i="33" s="1"/>
  <c r="N136" i="33" s="1"/>
  <c r="H150" i="33"/>
  <c r="H166" i="33"/>
  <c r="I160" i="33"/>
  <c r="I166" i="33" s="1"/>
  <c r="N138" i="33" s="1"/>
  <c r="G166" i="33"/>
  <c r="M138" i="33" s="1"/>
  <c r="I112" i="33"/>
  <c r="I118" i="33" s="1"/>
  <c r="H118" i="33"/>
  <c r="H134" i="33"/>
  <c r="I128" i="33"/>
  <c r="I134" i="33" s="1"/>
  <c r="N134" i="33" s="1"/>
  <c r="G118" i="33"/>
  <c r="H126" i="33"/>
  <c r="I120" i="33"/>
  <c r="I126" i="33" s="1"/>
  <c r="G134" i="33"/>
  <c r="M134" i="33" s="1"/>
  <c r="M97" i="6"/>
  <c r="M50" i="6"/>
  <c r="J98" i="6"/>
  <c r="M98" i="6"/>
  <c r="J51" i="6"/>
  <c r="M51" i="6"/>
  <c r="C13" i="81"/>
  <c r="J101" i="6"/>
  <c r="J97" i="6"/>
  <c r="B13" i="81"/>
  <c r="J54" i="6"/>
  <c r="C11" i="81"/>
  <c r="J50" i="6"/>
  <c r="B11" i="81"/>
  <c r="O17" i="31"/>
  <c r="I16" i="30" s="1"/>
  <c r="C18" i="31"/>
  <c r="I17" i="30"/>
  <c r="AR7" i="33"/>
  <c r="O14" i="31"/>
  <c r="W9" i="33"/>
  <c r="O10" i="31"/>
  <c r="AG11" i="32"/>
  <c r="AF11" i="32"/>
  <c r="AH11" i="32"/>
  <c r="O11" i="31"/>
  <c r="G18" i="31"/>
  <c r="G43" i="31"/>
  <c r="I21" i="30"/>
  <c r="AJ58" i="31"/>
  <c r="AJ59" i="31" s="1"/>
  <c r="AD21" i="30"/>
  <c r="AD23" i="30" s="1"/>
  <c r="AD43" i="30" s="1"/>
  <c r="AH58" i="31"/>
  <c r="AH59" i="31" s="1"/>
  <c r="AB21" i="30"/>
  <c r="AB23" i="30" s="1"/>
  <c r="AB43" i="30" s="1"/>
  <c r="AK58" i="31"/>
  <c r="AK59" i="31" s="1"/>
  <c r="AE21" i="30"/>
  <c r="AE23" i="30" s="1"/>
  <c r="AE43" i="30" s="1"/>
  <c r="AG59" i="31"/>
  <c r="L43" i="31"/>
  <c r="AI58" i="31"/>
  <c r="AI59" i="31" s="1"/>
  <c r="AC21" i="30"/>
  <c r="AC23" i="30" s="1"/>
  <c r="AC43" i="30" s="1"/>
  <c r="H43" i="31"/>
  <c r="AG57" i="31"/>
  <c r="C7" i="31"/>
  <c r="G7" i="31"/>
  <c r="AL58" i="31"/>
  <c r="AL59" i="31" s="1"/>
  <c r="D43" i="31"/>
  <c r="C43" i="31"/>
  <c r="BP11" i="33"/>
  <c r="AG63" i="31"/>
  <c r="AG64" i="31" s="1"/>
  <c r="AJ45" i="31"/>
  <c r="AJ57" i="31" s="1"/>
  <c r="AL45" i="31"/>
  <c r="AL57" i="31" s="1"/>
  <c r="AH45" i="31"/>
  <c r="AH57" i="31" s="1"/>
  <c r="AK45" i="31"/>
  <c r="AK57" i="31" s="1"/>
  <c r="AI45" i="31"/>
  <c r="AI57" i="31" s="1"/>
  <c r="AG6" i="32"/>
  <c r="AG10" i="32"/>
  <c r="AG8" i="32"/>
  <c r="AG9" i="32"/>
  <c r="AG7" i="32"/>
  <c r="AH7" i="32"/>
  <c r="AH8" i="32"/>
  <c r="AF6" i="32"/>
  <c r="AF10" i="32"/>
  <c r="AH9" i="32"/>
  <c r="AF8" i="32"/>
  <c r="AH10" i="32"/>
  <c r="AF7" i="32"/>
  <c r="AH6" i="32"/>
  <c r="AF9" i="32"/>
  <c r="AD63" i="31"/>
  <c r="AD64" i="31" s="1"/>
  <c r="D6" i="32"/>
  <c r="W11" i="33"/>
  <c r="AP11" i="33" s="1"/>
  <c r="AF11" i="33"/>
  <c r="AF9" i="33"/>
  <c r="AS12" i="33"/>
  <c r="AR8" i="33"/>
  <c r="AR11" i="33"/>
  <c r="AS7" i="33"/>
  <c r="AS8" i="33"/>
  <c r="AR10" i="33"/>
  <c r="AP12" i="33"/>
  <c r="AS10" i="33"/>
  <c r="AP10" i="33"/>
  <c r="AP8" i="33"/>
  <c r="AQ11" i="33"/>
  <c r="AQ10" i="33"/>
  <c r="AQ8" i="33"/>
  <c r="AQ7" i="33"/>
  <c r="Y9" i="33"/>
  <c r="AR9" i="33"/>
  <c r="AR12" i="33"/>
  <c r="AP7" i="33"/>
  <c r="L59" i="31" l="1"/>
  <c r="N100" i="6"/>
  <c r="P98" i="6"/>
  <c r="Q98" i="6" s="1"/>
  <c r="P97" i="6"/>
  <c r="Q97" i="6" s="1"/>
  <c r="O101" i="6"/>
  <c r="G33" i="7"/>
  <c r="E23" i="5"/>
  <c r="C21" i="5"/>
  <c r="I30" i="7"/>
  <c r="M254" i="6"/>
  <c r="M256" i="6" s="1"/>
  <c r="J254" i="6"/>
  <c r="J256" i="6" s="1"/>
  <c r="M32" i="7" s="1"/>
  <c r="J175" i="6"/>
  <c r="M175" i="6"/>
  <c r="M139" i="33"/>
  <c r="N139" i="33"/>
  <c r="G30" i="7"/>
  <c r="E21" i="5"/>
  <c r="M171" i="6"/>
  <c r="J171" i="6"/>
  <c r="F172" i="6"/>
  <c r="D11" i="81"/>
  <c r="D13" i="81"/>
  <c r="AR90" i="33"/>
  <c r="I13" i="7"/>
  <c r="E13" i="7"/>
  <c r="G13" i="7"/>
  <c r="I17" i="7"/>
  <c r="I25" i="7"/>
  <c r="G17" i="7"/>
  <c r="E25" i="7"/>
  <c r="E17" i="7"/>
  <c r="G25" i="7"/>
  <c r="C17" i="31"/>
  <c r="G17" i="31"/>
  <c r="I8" i="30"/>
  <c r="I12" i="30"/>
  <c r="I14" i="30" s="1"/>
  <c r="B21" i="30"/>
  <c r="AJ63" i="31"/>
  <c r="AJ64" i="31" s="1"/>
  <c r="L58" i="31"/>
  <c r="AK63" i="31"/>
  <c r="AK64" i="31" s="1"/>
  <c r="AL63" i="31"/>
  <c r="AL64" i="31" s="1"/>
  <c r="I19" i="30"/>
  <c r="I30" i="30"/>
  <c r="G11" i="31"/>
  <c r="C11" i="31"/>
  <c r="G14" i="31"/>
  <c r="C14" i="31"/>
  <c r="C10" i="31"/>
  <c r="O12" i="31"/>
  <c r="AI63" i="31"/>
  <c r="AI64" i="31" s="1"/>
  <c r="AH63" i="31"/>
  <c r="AH64" i="31" s="1"/>
  <c r="L45" i="31"/>
  <c r="C21" i="30"/>
  <c r="C23" i="30" s="1"/>
  <c r="O8" i="31"/>
  <c r="AS41" i="31"/>
  <c r="AT45" i="31"/>
  <c r="AT57" i="31" s="1"/>
  <c r="AW45" i="31"/>
  <c r="AW57" i="31" s="1"/>
  <c r="AZ7" i="33"/>
  <c r="AQ9" i="33"/>
  <c r="AP9" i="33"/>
  <c r="BO8" i="33"/>
  <c r="BO7" i="33"/>
  <c r="BO10" i="33"/>
  <c r="AZ10" i="33"/>
  <c r="AQ12" i="33"/>
  <c r="BO12" i="33"/>
  <c r="AZ8" i="33"/>
  <c r="B3" i="32"/>
  <c r="M172" i="6" l="1"/>
  <c r="M177" i="6" s="1"/>
  <c r="J172" i="6"/>
  <c r="J177" i="6" s="1"/>
  <c r="AP90" i="33"/>
  <c r="AQ90" i="33"/>
  <c r="G210" i="6"/>
  <c r="C17" i="81" s="1"/>
  <c r="O28" i="7"/>
  <c r="O30" i="7" s="1"/>
  <c r="B30" i="30"/>
  <c r="F283" i="6" s="1"/>
  <c r="M283" i="6" s="1"/>
  <c r="M289" i="6" s="1"/>
  <c r="I31" i="30"/>
  <c r="AX17" i="31"/>
  <c r="AR16" i="30" s="1"/>
  <c r="AR19" i="30" s="1"/>
  <c r="I5" i="30"/>
  <c r="I10" i="30"/>
  <c r="G12" i="31"/>
  <c r="C12" i="31"/>
  <c r="AX45" i="31"/>
  <c r="AX57" i="31" s="1"/>
  <c r="AV45" i="31"/>
  <c r="AV57" i="31" s="1"/>
  <c r="AU45" i="31"/>
  <c r="AU57" i="31" s="1"/>
  <c r="AV62" i="31"/>
  <c r="AW62" i="31"/>
  <c r="AX62" i="31"/>
  <c r="M210" i="6" l="1"/>
  <c r="AP93" i="33"/>
  <c r="J210" i="6"/>
  <c r="J283" i="6"/>
  <c r="J289" i="6" s="1"/>
  <c r="M22" i="7" s="1"/>
  <c r="B21" i="81"/>
  <c r="D21" i="81" s="1"/>
  <c r="B31" i="30"/>
  <c r="AX19" i="31"/>
  <c r="AS45" i="31"/>
  <c r="AS57" i="31" s="1"/>
  <c r="AA45" i="31" l="1"/>
  <c r="H45" i="31" s="1"/>
  <c r="AA57" i="31" l="1"/>
  <c r="D45" i="31"/>
  <c r="D57" i="31" s="1"/>
  <c r="P30" i="31" l="1"/>
  <c r="P33" i="31" s="1"/>
  <c r="O30" i="31"/>
  <c r="O33" i="31" s="1"/>
  <c r="G30" i="31" l="1"/>
  <c r="H58" i="31"/>
  <c r="Q30" i="31"/>
  <c r="Q33" i="31" l="1"/>
  <c r="Q35" i="31" s="1"/>
  <c r="P35" i="31"/>
  <c r="O35" i="31"/>
  <c r="G33" i="31"/>
  <c r="K24" i="31"/>
  <c r="B16" i="30"/>
  <c r="R19" i="31"/>
  <c r="Q19" i="31"/>
  <c r="R30" i="31"/>
  <c r="R33" i="31" s="1"/>
  <c r="P19" i="31"/>
  <c r="R15" i="31"/>
  <c r="Q15" i="31"/>
  <c r="P15" i="31"/>
  <c r="C30" i="31" l="1"/>
  <c r="C56" i="31" s="1"/>
  <c r="K30" i="31"/>
  <c r="K19" i="31"/>
  <c r="K15" i="31"/>
  <c r="B12" i="30"/>
  <c r="B14" i="30" s="1"/>
  <c r="O19" i="31"/>
  <c r="G19" i="31" s="1"/>
  <c r="O15" i="31"/>
  <c r="R35" i="31" l="1"/>
  <c r="K33" i="31"/>
  <c r="C15" i="31"/>
  <c r="G15" i="31"/>
  <c r="B17" i="30"/>
  <c r="B19" i="30" s="1"/>
  <c r="C19" i="31"/>
  <c r="O24" i="31" l="1"/>
  <c r="G10" i="31"/>
  <c r="O23" i="31"/>
  <c r="P23" i="31"/>
  <c r="R23" i="31"/>
  <c r="Q23" i="31"/>
  <c r="K23" i="31" l="1"/>
  <c r="B8" i="30"/>
  <c r="AP4" i="31" l="1"/>
  <c r="AN4" i="31"/>
  <c r="AM4" i="31"/>
  <c r="AO4" i="31"/>
  <c r="AM50" i="31" l="1"/>
  <c r="AG36" i="30" s="1"/>
  <c r="AM49" i="31"/>
  <c r="AM48" i="31"/>
  <c r="AM43" i="31" s="1"/>
  <c r="AM37" i="31"/>
  <c r="AM39" i="31"/>
  <c r="AM28" i="31"/>
  <c r="AM40" i="31"/>
  <c r="AM44" i="31"/>
  <c r="AN39" i="31"/>
  <c r="AN37" i="31"/>
  <c r="AH9" i="30" s="1"/>
  <c r="AN50" i="31"/>
  <c r="AH36" i="30" s="1"/>
  <c r="AN49" i="31"/>
  <c r="AN48" i="31"/>
  <c r="AN28" i="31"/>
  <c r="AN44" i="31"/>
  <c r="AN40" i="31"/>
  <c r="AP50" i="31"/>
  <c r="AJ36" i="30" s="1"/>
  <c r="AP49" i="31"/>
  <c r="AP48" i="31"/>
  <c r="AP39" i="31"/>
  <c r="AP37" i="31"/>
  <c r="AJ9" i="30" s="1"/>
  <c r="AP40" i="31"/>
  <c r="AP28" i="31"/>
  <c r="AP44" i="31"/>
  <c r="AO50" i="31"/>
  <c r="AI36" i="30" s="1"/>
  <c r="AO49" i="31"/>
  <c r="AO48" i="31"/>
  <c r="AO39" i="31"/>
  <c r="AO37" i="31"/>
  <c r="AI9" i="30" s="1"/>
  <c r="AO44" i="31"/>
  <c r="AO40" i="31"/>
  <c r="AO28" i="31"/>
  <c r="AO11" i="31"/>
  <c r="AO18" i="31"/>
  <c r="AP18" i="31"/>
  <c r="AM11" i="31"/>
  <c r="AM18" i="31"/>
  <c r="AN11" i="31"/>
  <c r="AN18" i="31"/>
  <c r="AA12" i="31"/>
  <c r="AN7" i="31"/>
  <c r="AN17" i="31"/>
  <c r="AP7" i="31"/>
  <c r="AP17" i="31"/>
  <c r="AO17" i="31"/>
  <c r="AO7" i="31"/>
  <c r="AM17" i="31"/>
  <c r="C17" i="30"/>
  <c r="U16" i="30"/>
  <c r="AA15" i="31"/>
  <c r="AA19" i="31"/>
  <c r="AA8" i="31"/>
  <c r="AH35" i="30" l="1"/>
  <c r="AN38" i="31"/>
  <c r="AN41" i="31" s="1"/>
  <c r="AI34" i="30"/>
  <c r="AO43" i="31"/>
  <c r="AO45" i="31" s="1"/>
  <c r="AJ34" i="30"/>
  <c r="AP43" i="31"/>
  <c r="AP45" i="31" s="1"/>
  <c r="AI35" i="30"/>
  <c r="AO38" i="31"/>
  <c r="AO41" i="31" s="1"/>
  <c r="AJ35" i="30"/>
  <c r="AP38" i="31"/>
  <c r="AJ13" i="30" s="1"/>
  <c r="AG35" i="30"/>
  <c r="AM38" i="31"/>
  <c r="I38" i="31" s="1"/>
  <c r="AH34" i="30"/>
  <c r="AH37" i="30" s="1"/>
  <c r="AN43" i="31"/>
  <c r="AH21" i="30" s="1"/>
  <c r="D36" i="30"/>
  <c r="AA24" i="31"/>
  <c r="H24" i="31" s="1"/>
  <c r="AA23" i="31"/>
  <c r="AJ16" i="30"/>
  <c r="AI26" i="30"/>
  <c r="AI28" i="30" s="1"/>
  <c r="AH26" i="30"/>
  <c r="AH28" i="30" s="1"/>
  <c r="AG18" i="30"/>
  <c r="AI16" i="30"/>
  <c r="I17" i="31"/>
  <c r="AH17" i="30"/>
  <c r="AJ17" i="30"/>
  <c r="AI18" i="30"/>
  <c r="AH16" i="30"/>
  <c r="AH30" i="30"/>
  <c r="AH31" i="30" s="1"/>
  <c r="AI17" i="30"/>
  <c r="AI22" i="30"/>
  <c r="AJ22" i="30"/>
  <c r="AJ18" i="30"/>
  <c r="AH18" i="30"/>
  <c r="AG17" i="30"/>
  <c r="AI30" i="30"/>
  <c r="AI31" i="30" s="1"/>
  <c r="AJ26" i="30"/>
  <c r="AJ28" i="30" s="1"/>
  <c r="AH22" i="30"/>
  <c r="AN30" i="31"/>
  <c r="AN33" i="31" s="1"/>
  <c r="M28" i="31"/>
  <c r="I40" i="31"/>
  <c r="E40" i="31"/>
  <c r="AP51" i="31"/>
  <c r="AN51" i="31"/>
  <c r="M48" i="31"/>
  <c r="M39" i="31"/>
  <c r="E48" i="31"/>
  <c r="I48" i="31"/>
  <c r="AM51" i="31"/>
  <c r="AO30" i="31"/>
  <c r="M37" i="31"/>
  <c r="E37" i="31"/>
  <c r="I37" i="31"/>
  <c r="AG9" i="30"/>
  <c r="D9" i="30" s="1"/>
  <c r="M40" i="31"/>
  <c r="M49" i="31"/>
  <c r="AG22" i="30"/>
  <c r="I44" i="31"/>
  <c r="E44" i="31"/>
  <c r="AG26" i="30"/>
  <c r="AG28" i="30" s="1"/>
  <c r="I28" i="31"/>
  <c r="I49" i="31"/>
  <c r="E49" i="31"/>
  <c r="AO51" i="31"/>
  <c r="AP30" i="31"/>
  <c r="M44" i="31"/>
  <c r="M50" i="31"/>
  <c r="AM45" i="31"/>
  <c r="AG21" i="30"/>
  <c r="I43" i="31"/>
  <c r="I39" i="31"/>
  <c r="E39" i="31"/>
  <c r="I50" i="31"/>
  <c r="E50" i="31"/>
  <c r="E18" i="31"/>
  <c r="C16" i="30"/>
  <c r="C19" i="30" s="1"/>
  <c r="U19" i="30"/>
  <c r="D8" i="31"/>
  <c r="H8" i="31"/>
  <c r="D19" i="31"/>
  <c r="H19" i="31"/>
  <c r="I18" i="31"/>
  <c r="I11" i="31"/>
  <c r="AG30" i="30"/>
  <c r="AG31" i="30" s="1"/>
  <c r="C12" i="30"/>
  <c r="C14" i="30" s="1"/>
  <c r="D12" i="31"/>
  <c r="H12" i="31"/>
  <c r="D15" i="31"/>
  <c r="H15" i="31"/>
  <c r="M17" i="31"/>
  <c r="M18" i="31"/>
  <c r="M7" i="31"/>
  <c r="AO19" i="31"/>
  <c r="AN19" i="31"/>
  <c r="AN8" i="31"/>
  <c r="AP8" i="31"/>
  <c r="AO8" i="31"/>
  <c r="U5" i="30"/>
  <c r="C5" i="30" s="1"/>
  <c r="AG16" i="30"/>
  <c r="AJ37" i="30" l="1"/>
  <c r="D35" i="30"/>
  <c r="D18" i="7" s="1"/>
  <c r="AI37" i="30"/>
  <c r="AJ21" i="30"/>
  <c r="AJ23" i="30" s="1"/>
  <c r="AP58" i="31"/>
  <c r="AI21" i="30"/>
  <c r="AI23" i="30" s="1"/>
  <c r="AI13" i="30"/>
  <c r="E38" i="31"/>
  <c r="AM41" i="31"/>
  <c r="I41" i="31" s="1"/>
  <c r="M38" i="31"/>
  <c r="AM58" i="31"/>
  <c r="I58" i="31" s="1"/>
  <c r="AO58" i="31"/>
  <c r="E43" i="31"/>
  <c r="M43" i="31"/>
  <c r="AG13" i="30"/>
  <c r="AN58" i="31"/>
  <c r="AN59" i="31" s="1"/>
  <c r="AN45" i="31"/>
  <c r="M45" i="31" s="1"/>
  <c r="AH13" i="30"/>
  <c r="AP41" i="31"/>
  <c r="M41" i="31" s="1"/>
  <c r="D55" i="31"/>
  <c r="D59" i="31" s="1"/>
  <c r="AA25" i="31"/>
  <c r="H25" i="31" s="1"/>
  <c r="AH23" i="30"/>
  <c r="D18" i="30"/>
  <c r="D25" i="7" s="1"/>
  <c r="D17" i="30"/>
  <c r="AI19" i="30"/>
  <c r="D16" i="30"/>
  <c r="AP33" i="31"/>
  <c r="AP35" i="31" s="1"/>
  <c r="AO33" i="31"/>
  <c r="AO35" i="31" s="1"/>
  <c r="AG23" i="30"/>
  <c r="AH5" i="30"/>
  <c r="AH6" i="30" s="1"/>
  <c r="AI5" i="30"/>
  <c r="AI6" i="30" s="1"/>
  <c r="AJ5" i="30"/>
  <c r="AJ6" i="30" s="1"/>
  <c r="AH19" i="30"/>
  <c r="AO57" i="31"/>
  <c r="AN35" i="31"/>
  <c r="M30" i="31"/>
  <c r="I45" i="31"/>
  <c r="E51" i="31"/>
  <c r="I51" i="31"/>
  <c r="M51" i="31"/>
  <c r="AG19" i="30"/>
  <c r="D24" i="31"/>
  <c r="C8" i="30"/>
  <c r="C10" i="30" s="1"/>
  <c r="D23" i="31"/>
  <c r="H23" i="31"/>
  <c r="M8" i="31"/>
  <c r="AM19" i="31"/>
  <c r="I19" i="31" s="1"/>
  <c r="D24" i="7" l="1"/>
  <c r="AM57" i="31"/>
  <c r="M58" i="31"/>
  <c r="D13" i="30"/>
  <c r="D17" i="7" s="1"/>
  <c r="AP57" i="31"/>
  <c r="E41" i="31"/>
  <c r="AN57" i="31"/>
  <c r="E45" i="31"/>
  <c r="F18" i="7"/>
  <c r="C47" i="30"/>
  <c r="C45" i="30"/>
  <c r="E57" i="31" l="1"/>
  <c r="J18" i="7"/>
  <c r="L18" i="7" s="1"/>
  <c r="I6" i="30" l="1"/>
  <c r="U6" i="30" l="1"/>
  <c r="U43" i="30" s="1"/>
  <c r="C43" i="30" l="1"/>
  <c r="C49" i="30" l="1"/>
  <c r="C51" i="30"/>
  <c r="C39" i="43" l="1"/>
  <c r="C34" i="43"/>
  <c r="C33" i="43"/>
  <c r="C32" i="43"/>
  <c r="C31" i="43"/>
  <c r="C30" i="43"/>
  <c r="C28" i="43"/>
  <c r="I26" i="43"/>
  <c r="C26" i="43"/>
  <c r="C25" i="43"/>
  <c r="C23" i="43"/>
  <c r="C22" i="43"/>
  <c r="C21" i="43"/>
  <c r="C20" i="43"/>
  <c r="C18" i="43"/>
  <c r="I17" i="43"/>
  <c r="C17" i="43"/>
  <c r="I16" i="43"/>
  <c r="C16" i="43"/>
  <c r="I15" i="43"/>
  <c r="C15" i="43"/>
  <c r="C14" i="43"/>
  <c r="C12" i="43"/>
  <c r="C10" i="43"/>
  <c r="C9" i="43"/>
  <c r="C8" i="43"/>
  <c r="C7" i="43"/>
  <c r="I55" i="6" l="1"/>
  <c r="I69" i="6"/>
  <c r="J69" i="6" s="1"/>
  <c r="I102" i="6"/>
  <c r="I118" i="6"/>
  <c r="J118" i="6" s="1"/>
  <c r="J121" i="6" s="1"/>
  <c r="Q79" i="33"/>
  <c r="AA79" i="33" s="1"/>
  <c r="AS79" i="33" s="1"/>
  <c r="Q86" i="33"/>
  <c r="AA86" i="33" s="1"/>
  <c r="AS86" i="33" s="1"/>
  <c r="Q65" i="33"/>
  <c r="AA65" i="33" s="1"/>
  <c r="AS65" i="33" s="1"/>
  <c r="Q51" i="33"/>
  <c r="AA51" i="33" s="1"/>
  <c r="AS51" i="33" s="1"/>
  <c r="Q37" i="33"/>
  <c r="AA37" i="33" s="1"/>
  <c r="AS37" i="33" s="1"/>
  <c r="Q44" i="33"/>
  <c r="AA44" i="33" s="1"/>
  <c r="AS44" i="33" s="1"/>
  <c r="Q30" i="33"/>
  <c r="AA30" i="33" s="1"/>
  <c r="AS30" i="33" s="1"/>
  <c r="Q72" i="33"/>
  <c r="AA72" i="33" s="1"/>
  <c r="AS72" i="33" s="1"/>
  <c r="Q58" i="33"/>
  <c r="AA58" i="33" s="1"/>
  <c r="AS58" i="33" s="1"/>
  <c r="Q39" i="33"/>
  <c r="AA39" i="33" s="1"/>
  <c r="AS39" i="33" s="1"/>
  <c r="Q46" i="33"/>
  <c r="AA46" i="33" s="1"/>
  <c r="AS46" i="33" s="1"/>
  <c r="Q81" i="33"/>
  <c r="AA81" i="33" s="1"/>
  <c r="AS81" i="33" s="1"/>
  <c r="Q74" i="33"/>
  <c r="AA74" i="33" s="1"/>
  <c r="AS74" i="33" s="1"/>
  <c r="Q32" i="33"/>
  <c r="AA32" i="33" s="1"/>
  <c r="AS32" i="33" s="1"/>
  <c r="Q53" i="33"/>
  <c r="AA53" i="33" s="1"/>
  <c r="AS53" i="33" s="1"/>
  <c r="Q67" i="33"/>
  <c r="AA67" i="33" s="1"/>
  <c r="AS67" i="33" s="1"/>
  <c r="Q60" i="33"/>
  <c r="AA60" i="33" s="1"/>
  <c r="AS60" i="33" s="1"/>
  <c r="Q88" i="33"/>
  <c r="AA88" i="33" s="1"/>
  <c r="AS88" i="33" s="1"/>
  <c r="Q18" i="33"/>
  <c r="AA18" i="33" s="1"/>
  <c r="AS18" i="33" s="1"/>
  <c r="Q25" i="33"/>
  <c r="AA25" i="33" s="1"/>
  <c r="AS25" i="33" s="1"/>
  <c r="Q23" i="33"/>
  <c r="AA23" i="33" s="1"/>
  <c r="AS23" i="33" s="1"/>
  <c r="Q16" i="33"/>
  <c r="AA16" i="33" s="1"/>
  <c r="AS16" i="33" s="1"/>
  <c r="Q9" i="33"/>
  <c r="Q11" i="33"/>
  <c r="AA11" i="33" s="1"/>
  <c r="AS11" i="33" s="1"/>
  <c r="C2" i="43"/>
  <c r="L102" i="6" l="1"/>
  <c r="J102" i="6"/>
  <c r="J105" i="6" s="1"/>
  <c r="M19" i="7" s="1"/>
  <c r="L55" i="6"/>
  <c r="J55" i="6"/>
  <c r="J58" i="6" s="1"/>
  <c r="M14" i="7" s="1"/>
  <c r="AD11" i="32"/>
  <c r="AE11" i="32"/>
  <c r="AB10" i="32"/>
  <c r="AB9" i="32"/>
  <c r="AB8" i="32"/>
  <c r="AB11" i="32"/>
  <c r="AB7" i="32"/>
  <c r="AB6" i="32"/>
  <c r="Q6" i="32"/>
  <c r="Q9" i="32"/>
  <c r="Q10" i="32"/>
  <c r="Q7" i="32"/>
  <c r="Q8" i="32"/>
  <c r="X6" i="32"/>
  <c r="BO53" i="33"/>
  <c r="AZ53" i="33"/>
  <c r="BO46" i="33"/>
  <c r="AZ46" i="33"/>
  <c r="BO44" i="33"/>
  <c r="AZ44" i="33"/>
  <c r="AR10" i="31" s="1"/>
  <c r="BO86" i="33"/>
  <c r="AZ86" i="33"/>
  <c r="BS73" i="86"/>
  <c r="BS31" i="86"/>
  <c r="BS59" i="86"/>
  <c r="BS32" i="86"/>
  <c r="BS88" i="86"/>
  <c r="BS67" i="86"/>
  <c r="BO88" i="33"/>
  <c r="AZ88" i="33"/>
  <c r="BO32" i="33"/>
  <c r="AZ32" i="33"/>
  <c r="AP14" i="31" s="1"/>
  <c r="BO39" i="33"/>
  <c r="AZ39" i="33"/>
  <c r="BS19" i="86"/>
  <c r="BO58" i="33"/>
  <c r="AZ58" i="33"/>
  <c r="BO37" i="33"/>
  <c r="AZ37" i="33"/>
  <c r="BO79" i="33"/>
  <c r="AZ79" i="33"/>
  <c r="BS52" i="86"/>
  <c r="BS16" i="86"/>
  <c r="BS60" i="86"/>
  <c r="BS81" i="86"/>
  <c r="BO60" i="33"/>
  <c r="AZ60" i="33"/>
  <c r="BO74" i="33"/>
  <c r="AZ74" i="33"/>
  <c r="BO72" i="33"/>
  <c r="AZ72" i="33"/>
  <c r="BO51" i="33"/>
  <c r="AZ51" i="33"/>
  <c r="BS87" i="86"/>
  <c r="BS38" i="86"/>
  <c r="BS66" i="86"/>
  <c r="BS46" i="86"/>
  <c r="BS74" i="86"/>
  <c r="BO67" i="33"/>
  <c r="AZ67" i="33"/>
  <c r="BO81" i="33"/>
  <c r="AZ81" i="33"/>
  <c r="BO30" i="33"/>
  <c r="AZ30" i="33"/>
  <c r="BO65" i="33"/>
  <c r="AZ65" i="33"/>
  <c r="BS80" i="86"/>
  <c r="BS45" i="86"/>
  <c r="BS24" i="86"/>
  <c r="BS17" i="86"/>
  <c r="BS53" i="86"/>
  <c r="BS39" i="86"/>
  <c r="AA11" i="32"/>
  <c r="Y11" i="32"/>
  <c r="AP11" i="31"/>
  <c r="BO16" i="33"/>
  <c r="AZ16" i="33"/>
  <c r="AN10" i="31" s="1"/>
  <c r="BO18" i="33"/>
  <c r="AZ18" i="33"/>
  <c r="BO23" i="33"/>
  <c r="AZ23" i="33"/>
  <c r="AO10" i="31" s="1"/>
  <c r="AM19" i="30"/>
  <c r="BO25" i="33"/>
  <c r="AZ25" i="33"/>
  <c r="AE7" i="32"/>
  <c r="AD8" i="32"/>
  <c r="AD6" i="32"/>
  <c r="AE6" i="32"/>
  <c r="AD10" i="32"/>
  <c r="AD9" i="32"/>
  <c r="AE10" i="32"/>
  <c r="AE9" i="32"/>
  <c r="AD7" i="32"/>
  <c r="AE8" i="32"/>
  <c r="Y6" i="32"/>
  <c r="Y8" i="32"/>
  <c r="AA10" i="32"/>
  <c r="Y10" i="32"/>
  <c r="AA7" i="32"/>
  <c r="AA6" i="32"/>
  <c r="Y7" i="32"/>
  <c r="Y9" i="32"/>
  <c r="AA8" i="32"/>
  <c r="AA9" i="32"/>
  <c r="X7" i="32"/>
  <c r="AA9" i="33"/>
  <c r="U9" i="32" s="1"/>
  <c r="BO11" i="33"/>
  <c r="AZ11" i="33"/>
  <c r="AM14" i="31" s="1"/>
  <c r="L69" i="6" l="1"/>
  <c r="M69" i="6" s="1"/>
  <c r="M55" i="6"/>
  <c r="L118" i="6"/>
  <c r="M118" i="6" s="1"/>
  <c r="M121" i="6" s="1"/>
  <c r="M102" i="6"/>
  <c r="M105" i="6" s="1"/>
  <c r="Y20" i="32"/>
  <c r="BS90" i="86"/>
  <c r="E21" i="7"/>
  <c r="E22" i="7" s="1"/>
  <c r="D17" i="5" s="1"/>
  <c r="J295" i="6"/>
  <c r="M295" i="6" s="1"/>
  <c r="V8" i="32"/>
  <c r="G12" i="7" s="1"/>
  <c r="W7" i="32"/>
  <c r="W8" i="32"/>
  <c r="I12" i="7" s="1"/>
  <c r="W9" i="32"/>
  <c r="I21" i="7" s="1"/>
  <c r="W6" i="32"/>
  <c r="V9" i="32"/>
  <c r="V6" i="32"/>
  <c r="V7" i="32"/>
  <c r="W11" i="32"/>
  <c r="V10" i="32"/>
  <c r="V11" i="32"/>
  <c r="W10" i="32"/>
  <c r="J128" i="6" s="1"/>
  <c r="O9" i="32"/>
  <c r="M7" i="32"/>
  <c r="M6" i="32"/>
  <c r="R8" i="32"/>
  <c r="R9" i="32"/>
  <c r="O8" i="32"/>
  <c r="M10" i="32"/>
  <c r="R10" i="32"/>
  <c r="S7" i="32"/>
  <c r="S9" i="32"/>
  <c r="R6" i="32"/>
  <c r="U11" i="32"/>
  <c r="U8" i="32"/>
  <c r="S6" i="32"/>
  <c r="R11" i="32"/>
  <c r="M9" i="32"/>
  <c r="S11" i="32"/>
  <c r="O7" i="32"/>
  <c r="U7" i="32"/>
  <c r="O11" i="32"/>
  <c r="S10" i="32"/>
  <c r="M8" i="32"/>
  <c r="O6" i="32"/>
  <c r="R7" i="32"/>
  <c r="O10" i="32"/>
  <c r="M11" i="32"/>
  <c r="U10" i="32"/>
  <c r="AG12" i="30"/>
  <c r="AJ30" i="30"/>
  <c r="AJ12" i="30"/>
  <c r="AL8" i="30"/>
  <c r="AL10" i="30" s="1"/>
  <c r="AI8" i="30"/>
  <c r="AI10" i="30" s="1"/>
  <c r="AH8" i="30"/>
  <c r="AH10" i="30" s="1"/>
  <c r="BP88" i="86"/>
  <c r="BP81" i="86"/>
  <c r="BP74" i="86"/>
  <c r="BP67" i="86"/>
  <c r="BP60" i="86"/>
  <c r="BP53" i="86"/>
  <c r="BP46" i="86"/>
  <c r="BP39" i="86"/>
  <c r="BP32" i="86"/>
  <c r="BP17" i="86"/>
  <c r="BL65" i="33"/>
  <c r="BB65" i="33"/>
  <c r="BB67" i="33"/>
  <c r="BL67" i="33"/>
  <c r="BP87" i="86"/>
  <c r="BL72" i="33"/>
  <c r="BB72" i="33"/>
  <c r="BL74" i="33"/>
  <c r="BB74" i="33"/>
  <c r="BP52" i="86"/>
  <c r="AQ10" i="31"/>
  <c r="BB37" i="33"/>
  <c r="BL37" i="33"/>
  <c r="BP19" i="86"/>
  <c r="AQ14" i="31"/>
  <c r="BL39" i="33"/>
  <c r="BB39" i="33"/>
  <c r="BL88" i="33"/>
  <c r="BB88" i="33"/>
  <c r="U6" i="32" s="1"/>
  <c r="BP59" i="86"/>
  <c r="BP73" i="86"/>
  <c r="BB44" i="33"/>
  <c r="BL44" i="33"/>
  <c r="BL46" i="33"/>
  <c r="BB46" i="33"/>
  <c r="BP45" i="86"/>
  <c r="BP66" i="86"/>
  <c r="BP24" i="86"/>
  <c r="BP80" i="86"/>
  <c r="BL30" i="33"/>
  <c r="BB30" i="33"/>
  <c r="BB81" i="33"/>
  <c r="BL81" i="33"/>
  <c r="BP38" i="86"/>
  <c r="BL51" i="33"/>
  <c r="BB51" i="33"/>
  <c r="BL60" i="33"/>
  <c r="BB60" i="33"/>
  <c r="BP16" i="86"/>
  <c r="BB79" i="33"/>
  <c r="BL79" i="33"/>
  <c r="BB58" i="33"/>
  <c r="BL58" i="33"/>
  <c r="BB32" i="33"/>
  <c r="BL32" i="33"/>
  <c r="BP31" i="86"/>
  <c r="BB86" i="33"/>
  <c r="BL86" i="33"/>
  <c r="BB53" i="33"/>
  <c r="BL53" i="33"/>
  <c r="AS9" i="33"/>
  <c r="M11" i="31"/>
  <c r="AS19" i="31"/>
  <c r="X9" i="32"/>
  <c r="AP10" i="31"/>
  <c r="AN14" i="31"/>
  <c r="AO14" i="31"/>
  <c r="AR14" i="31"/>
  <c r="AO12" i="31"/>
  <c r="AN12" i="31"/>
  <c r="AT14" i="31"/>
  <c r="BL25" i="33"/>
  <c r="BB25" i="33"/>
  <c r="AX14" i="31"/>
  <c r="AV10" i="31"/>
  <c r="BB23" i="33"/>
  <c r="BL23" i="33"/>
  <c r="AW10" i="31"/>
  <c r="BL16" i="33"/>
  <c r="BB16" i="33"/>
  <c r="AS14" i="31"/>
  <c r="AV14" i="31"/>
  <c r="AS10" i="31"/>
  <c r="AU14" i="31"/>
  <c r="AT10" i="31"/>
  <c r="AW14" i="31"/>
  <c r="BL18" i="33"/>
  <c r="BB18" i="33"/>
  <c r="AU10" i="31"/>
  <c r="X10" i="32"/>
  <c r="M58" i="6" l="1"/>
  <c r="O56" i="6"/>
  <c r="O58" i="6" s="1"/>
  <c r="E12" i="7"/>
  <c r="J73" i="6"/>
  <c r="M73" i="6" s="1"/>
  <c r="J74" i="6"/>
  <c r="M74" i="6" s="1"/>
  <c r="J75" i="6"/>
  <c r="S8" i="32"/>
  <c r="AS90" i="33"/>
  <c r="AR92" i="33" s="1"/>
  <c r="AR94" i="33" s="1"/>
  <c r="J185" i="6"/>
  <c r="G21" i="7"/>
  <c r="J296" i="6"/>
  <c r="J184" i="6"/>
  <c r="M184" i="6" s="1"/>
  <c r="J183" i="6"/>
  <c r="M183" i="6" s="1"/>
  <c r="I16" i="7"/>
  <c r="G16" i="7"/>
  <c r="G19" i="7" s="1"/>
  <c r="E16" i="7"/>
  <c r="E19" i="7" s="1"/>
  <c r="J127" i="6"/>
  <c r="I9" i="7"/>
  <c r="J27" i="6"/>
  <c r="G9" i="7"/>
  <c r="J26" i="6"/>
  <c r="M26" i="6" s="1"/>
  <c r="J25" i="6"/>
  <c r="M25" i="6" s="1"/>
  <c r="E9" i="7"/>
  <c r="BP90" i="86"/>
  <c r="I22" i="7"/>
  <c r="I33" i="7"/>
  <c r="C23" i="5"/>
  <c r="I24" i="7"/>
  <c r="G24" i="7"/>
  <c r="E24" i="7"/>
  <c r="D30" i="30"/>
  <c r="AJ31" i="30"/>
  <c r="AN12" i="30"/>
  <c r="AN14" i="30" s="1"/>
  <c r="AL12" i="30"/>
  <c r="AL14" i="30" s="1"/>
  <c r="AL43" i="30" s="1"/>
  <c r="AQ12" i="30"/>
  <c r="AQ14" i="30" s="1"/>
  <c r="AP12" i="30"/>
  <c r="AP14" i="30" s="1"/>
  <c r="AR12" i="30"/>
  <c r="AR14" i="30" s="1"/>
  <c r="AI12" i="30"/>
  <c r="AI14" i="30" s="1"/>
  <c r="AI43" i="30" s="1"/>
  <c r="AM12" i="30"/>
  <c r="AM14" i="30" s="1"/>
  <c r="AH12" i="30"/>
  <c r="AH14" i="30" s="1"/>
  <c r="AH43" i="30" s="1"/>
  <c r="AK12" i="30"/>
  <c r="AK14" i="30" s="1"/>
  <c r="AO12" i="30"/>
  <c r="AO14" i="30" s="1"/>
  <c r="AU24" i="31"/>
  <c r="AU25" i="31" s="1"/>
  <c r="AS24" i="31"/>
  <c r="AS25" i="31" s="1"/>
  <c r="AW24" i="31"/>
  <c r="AW25" i="31" s="1"/>
  <c r="AT24" i="31"/>
  <c r="AT25" i="31" s="1"/>
  <c r="AO24" i="31"/>
  <c r="AJ8" i="30"/>
  <c r="AJ10" i="30" s="1"/>
  <c r="AP24" i="31"/>
  <c r="AN24" i="31"/>
  <c r="AR24" i="31"/>
  <c r="AV24" i="31"/>
  <c r="AV25" i="31" s="1"/>
  <c r="AK8" i="30"/>
  <c r="AK10" i="30" s="1"/>
  <c r="AQ24" i="31"/>
  <c r="AM8" i="30"/>
  <c r="AM10" i="30" s="1"/>
  <c r="AQ8" i="30"/>
  <c r="AQ10" i="30" s="1"/>
  <c r="AP8" i="30"/>
  <c r="AP10" i="30" s="1"/>
  <c r="AO8" i="30"/>
  <c r="AO10" i="30" s="1"/>
  <c r="AN8" i="30"/>
  <c r="AN10" i="30" s="1"/>
  <c r="AR12" i="31"/>
  <c r="AQ12" i="31"/>
  <c r="AZ9" i="33"/>
  <c r="AM10" i="31" s="1"/>
  <c r="BO9" i="33"/>
  <c r="AJ19" i="30"/>
  <c r="AQ15" i="31"/>
  <c r="AR15" i="31"/>
  <c r="AO15" i="31"/>
  <c r="AO23" i="31" s="1"/>
  <c r="AP15" i="31"/>
  <c r="AJ14" i="30"/>
  <c r="AP12" i="31"/>
  <c r="AN15" i="31"/>
  <c r="AN23" i="31" s="1"/>
  <c r="M14" i="31"/>
  <c r="M10" i="31"/>
  <c r="I14" i="31"/>
  <c r="AP19" i="31"/>
  <c r="AW15" i="31"/>
  <c r="AV15" i="31"/>
  <c r="AV12" i="31"/>
  <c r="AS12" i="31"/>
  <c r="AS15" i="31"/>
  <c r="AW12" i="31"/>
  <c r="AU15" i="31"/>
  <c r="AT15" i="31"/>
  <c r="AU12" i="31"/>
  <c r="AT12" i="31"/>
  <c r="AX15" i="31"/>
  <c r="L321" i="6" l="1"/>
  <c r="M321" i="6" s="1"/>
  <c r="L319" i="6"/>
  <c r="M319" i="6" s="1"/>
  <c r="M127" i="6"/>
  <c r="M296" i="6"/>
  <c r="AK43" i="30"/>
  <c r="G22" i="7"/>
  <c r="E17" i="5" s="1"/>
  <c r="AO43" i="30"/>
  <c r="AM43" i="30"/>
  <c r="D31" i="30"/>
  <c r="G26" i="7"/>
  <c r="I26" i="7"/>
  <c r="AP43" i="30"/>
  <c r="AN43" i="30"/>
  <c r="AQ43" i="30"/>
  <c r="AJ43" i="30"/>
  <c r="I19" i="7"/>
  <c r="D12" i="30"/>
  <c r="AG8" i="30"/>
  <c r="AP23" i="31"/>
  <c r="AP25" i="31" s="1"/>
  <c r="AV23" i="31"/>
  <c r="AV63" i="31" s="1"/>
  <c r="AV64" i="31" s="1"/>
  <c r="AT23" i="31"/>
  <c r="AT63" i="31" s="1"/>
  <c r="AT64" i="31" s="1"/>
  <c r="AR23" i="31"/>
  <c r="AR25" i="31" s="1"/>
  <c r="AS23" i="31"/>
  <c r="AS63" i="31" s="1"/>
  <c r="AS64" i="31" s="1"/>
  <c r="AU23" i="31"/>
  <c r="AU63" i="31" s="1"/>
  <c r="AU64" i="31" s="1"/>
  <c r="AW23" i="31"/>
  <c r="AW63" i="31" s="1"/>
  <c r="AW64" i="31" s="1"/>
  <c r="AQ23" i="31"/>
  <c r="AQ25" i="31" s="1"/>
  <c r="X8" i="32"/>
  <c r="AX10" i="31"/>
  <c r="M12" i="31"/>
  <c r="AO25" i="31"/>
  <c r="AN25" i="31"/>
  <c r="M24" i="31"/>
  <c r="M19" i="31"/>
  <c r="M15" i="31"/>
  <c r="I14" i="7"/>
  <c r="C13" i="5" s="1"/>
  <c r="M323" i="6" l="1"/>
  <c r="C15" i="5"/>
  <c r="I10" i="31"/>
  <c r="AR8" i="30"/>
  <c r="AX12" i="31"/>
  <c r="O24" i="7"/>
  <c r="M23" i="31"/>
  <c r="M25" i="31"/>
  <c r="AR10" i="30" l="1"/>
  <c r="D8" i="30"/>
  <c r="D12" i="7" s="1"/>
  <c r="O26" i="7"/>
  <c r="Q24" i="7"/>
  <c r="E19" i="5" l="1"/>
  <c r="E15" i="5"/>
  <c r="AX12" i="33" l="1"/>
  <c r="O17" i="7"/>
  <c r="Q17" i="7" s="1"/>
  <c r="O12" i="7"/>
  <c r="Q12" i="7" s="1"/>
  <c r="O13" i="7"/>
  <c r="Q13" i="7" s="1"/>
  <c r="Q26" i="7"/>
  <c r="AR62" i="31"/>
  <c r="AQ62" i="31"/>
  <c r="AP62" i="31"/>
  <c r="AO62" i="31"/>
  <c r="AN62" i="31"/>
  <c r="AM62" i="31"/>
  <c r="AA62" i="31"/>
  <c r="C33" i="31"/>
  <c r="AA59" i="31"/>
  <c r="Q11" i="32" l="1"/>
  <c r="AX90" i="33"/>
  <c r="AX92" i="33" s="1"/>
  <c r="H59" i="31"/>
  <c r="AZ12" i="33"/>
  <c r="AX7" i="31" s="1"/>
  <c r="E26" i="7"/>
  <c r="D19" i="5" s="1"/>
  <c r="O14" i="7"/>
  <c r="Q14" i="7" s="1"/>
  <c r="AX8" i="31" l="1"/>
  <c r="X11" i="32"/>
  <c r="X20" i="32" s="1"/>
  <c r="BL12" i="33"/>
  <c r="AM7" i="31"/>
  <c r="G14" i="7"/>
  <c r="E13" i="5" s="1"/>
  <c r="AQ35" i="31"/>
  <c r="I22" i="30"/>
  <c r="Q45" i="31"/>
  <c r="P45" i="31"/>
  <c r="AM30" i="31"/>
  <c r="AA63" i="31"/>
  <c r="AA64" i="31" s="1"/>
  <c r="O32" i="7"/>
  <c r="Z11" i="32" l="1"/>
  <c r="AX24" i="31"/>
  <c r="AX25" i="31" s="1"/>
  <c r="I30" i="31"/>
  <c r="AM33" i="31"/>
  <c r="I33" i="31" s="1"/>
  <c r="AR5" i="30"/>
  <c r="AR6" i="30" s="1"/>
  <c r="AR43" i="30" s="1"/>
  <c r="AX23" i="31"/>
  <c r="AX63" i="31" s="1"/>
  <c r="AX64" i="31" s="1"/>
  <c r="I23" i="30"/>
  <c r="I43" i="30" s="1"/>
  <c r="C44" i="31"/>
  <c r="G44" i="31"/>
  <c r="I7" i="31"/>
  <c r="AM12" i="31"/>
  <c r="I12" i="31" s="1"/>
  <c r="Q28" i="7"/>
  <c r="Q30" i="7" s="1"/>
  <c r="O45" i="31"/>
  <c r="G45" i="31" s="1"/>
  <c r="R45" i="31"/>
  <c r="AM8" i="31"/>
  <c r="O16" i="7"/>
  <c r="M33" i="31"/>
  <c r="Q32" i="7"/>
  <c r="AM24" i="31" l="1"/>
  <c r="I24" i="31" s="1"/>
  <c r="I8" i="31"/>
  <c r="E28" i="31"/>
  <c r="D26" i="30"/>
  <c r="E29" i="31"/>
  <c r="D27" i="30"/>
  <c r="B22" i="30"/>
  <c r="B23" i="30" s="1"/>
  <c r="K45" i="31"/>
  <c r="E33" i="31"/>
  <c r="C45" i="31"/>
  <c r="AG5" i="30"/>
  <c r="D5" i="30" s="1"/>
  <c r="AM15" i="31"/>
  <c r="AM23" i="31" s="1"/>
  <c r="AR35" i="31"/>
  <c r="M35" i="31" s="1"/>
  <c r="AM35" i="31"/>
  <c r="I35" i="31" s="1"/>
  <c r="AG10" i="30"/>
  <c r="Q16" i="7"/>
  <c r="O19" i="7"/>
  <c r="Q19" i="7" s="1"/>
  <c r="F208" i="6" l="1"/>
  <c r="B17" i="81" s="1"/>
  <c r="D28" i="30"/>
  <c r="D32" i="7" s="1"/>
  <c r="E24" i="31"/>
  <c r="O33" i="7"/>
  <c r="Q33" i="7" s="1"/>
  <c r="AG6" i="30"/>
  <c r="I15" i="31"/>
  <c r="E11" i="31"/>
  <c r="D21" i="7" s="1"/>
  <c r="AG14" i="30"/>
  <c r="D15" i="5"/>
  <c r="E33" i="7"/>
  <c r="E30" i="31"/>
  <c r="E56" i="31" s="1"/>
  <c r="M208" i="6" l="1"/>
  <c r="M213" i="6" s="1"/>
  <c r="D17" i="81"/>
  <c r="J208" i="6"/>
  <c r="J213" i="6" s="1"/>
  <c r="M28" i="7" s="1"/>
  <c r="F21" i="7"/>
  <c r="F22" i="7" s="1"/>
  <c r="D22" i="7"/>
  <c r="E17" i="31"/>
  <c r="C6" i="30"/>
  <c r="O10" i="7"/>
  <c r="O38" i="7" s="1"/>
  <c r="E23" i="31"/>
  <c r="I23" i="31"/>
  <c r="E14" i="31"/>
  <c r="E10" i="31"/>
  <c r="Y8" i="31"/>
  <c r="E7" i="31"/>
  <c r="AM25" i="31"/>
  <c r="I25" i="31" s="1"/>
  <c r="D14" i="30"/>
  <c r="E15" i="31"/>
  <c r="E10" i="7"/>
  <c r="J22" i="7" l="1"/>
  <c r="L22" i="7" s="1"/>
  <c r="N22" i="7" s="1"/>
  <c r="C44" i="30"/>
  <c r="G17" i="6"/>
  <c r="M17" i="6" s="1"/>
  <c r="Y24" i="31"/>
  <c r="Y25" i="31" s="1"/>
  <c r="D19" i="30"/>
  <c r="D10" i="30"/>
  <c r="S5" i="30"/>
  <c r="S6" i="30" s="1"/>
  <c r="Y23" i="31"/>
  <c r="E19" i="31"/>
  <c r="Q10" i="7"/>
  <c r="Q38" i="7" s="1"/>
  <c r="Q40" i="7" s="1"/>
  <c r="O9" i="7"/>
  <c r="E12" i="31"/>
  <c r="D6" i="30"/>
  <c r="E8" i="31"/>
  <c r="D11" i="5"/>
  <c r="I291" i="6" l="1"/>
  <c r="M23" i="7"/>
  <c r="B17" i="5"/>
  <c r="F17" i="5" s="1"/>
  <c r="C9" i="81"/>
  <c r="J17" i="6"/>
  <c r="E55" i="31"/>
  <c r="E59" i="31" s="1"/>
  <c r="D9" i="7"/>
  <c r="Q9" i="7"/>
  <c r="L291" i="6" l="1"/>
  <c r="M293" i="6" s="1"/>
  <c r="J293" i="6"/>
  <c r="O40" i="7"/>
  <c r="F32" i="7"/>
  <c r="J32" i="7" s="1"/>
  <c r="D33" i="7"/>
  <c r="M298" i="6" l="1"/>
  <c r="H21" i="81" s="1"/>
  <c r="J298" i="6"/>
  <c r="F33" i="7"/>
  <c r="L32" i="7"/>
  <c r="B23" i="5" s="1"/>
  <c r="F23" i="5" s="1"/>
  <c r="J33" i="7"/>
  <c r="L33" i="7" s="1"/>
  <c r="D16" i="7"/>
  <c r="F24" i="7"/>
  <c r="J24" i="7" s="1"/>
  <c r="L24" i="7" s="1"/>
  <c r="M300" i="6" l="1"/>
  <c r="M301" i="6" s="1"/>
  <c r="H17" i="5" s="1"/>
  <c r="I21" i="81"/>
  <c r="C21" i="82"/>
  <c r="F12" i="7"/>
  <c r="J12" i="7" s="1"/>
  <c r="L12" i="7" s="1"/>
  <c r="F16" i="7"/>
  <c r="D19" i="7"/>
  <c r="D10" i="7"/>
  <c r="F9" i="7"/>
  <c r="G17" i="5" l="1"/>
  <c r="F19" i="7"/>
  <c r="J16" i="7"/>
  <c r="L16" i="7" s="1"/>
  <c r="F10" i="7"/>
  <c r="G21" i="81" l="1"/>
  <c r="BN11" i="33"/>
  <c r="BN7" i="33"/>
  <c r="Z7" i="32"/>
  <c r="BN8" i="33"/>
  <c r="BN12" i="33"/>
  <c r="Z9" i="32"/>
  <c r="BN10" i="33"/>
  <c r="BN9" i="33"/>
  <c r="Z6" i="32" l="1"/>
  <c r="BB9" i="33"/>
  <c r="Z8" i="32"/>
  <c r="BL9" i="33"/>
  <c r="BB12" i="33"/>
  <c r="BB11" i="33"/>
  <c r="Z10" i="32"/>
  <c r="BL11" i="33"/>
  <c r="BB10" i="33"/>
  <c r="BL10" i="33"/>
  <c r="BL8" i="33"/>
  <c r="BB8" i="33"/>
  <c r="BL7" i="33"/>
  <c r="BB7" i="33"/>
  <c r="BL90" i="33" l="1"/>
  <c r="I11" i="32"/>
  <c r="H11" i="32"/>
  <c r="G11" i="32"/>
  <c r="I10" i="7"/>
  <c r="I38" i="7" s="1"/>
  <c r="D39" i="43"/>
  <c r="E39" i="43" s="1"/>
  <c r="F39" i="43" s="1"/>
  <c r="AN5" i="31"/>
  <c r="AO5" i="31" s="1"/>
  <c r="AP5" i="31" s="1"/>
  <c r="AQ5" i="31" s="1"/>
  <c r="AR5" i="31" s="1"/>
  <c r="C3" i="32"/>
  <c r="D3" i="32" s="1"/>
  <c r="E3" i="32" s="1"/>
  <c r="F3" i="32" s="1"/>
  <c r="G3" i="32" s="1"/>
  <c r="H3" i="32" s="1"/>
  <c r="I3" i="32" s="1"/>
  <c r="J3" i="32" s="1"/>
  <c r="K3" i="32" s="1"/>
  <c r="M3" i="32" s="1"/>
  <c r="N3" i="32" s="1"/>
  <c r="O3" i="32" s="1"/>
  <c r="P3" i="32" s="1"/>
  <c r="Q3" i="32" s="1"/>
  <c r="R3" i="32" s="1"/>
  <c r="S3" i="32" s="1"/>
  <c r="T3" i="32" s="1"/>
  <c r="U3" i="32" s="1"/>
  <c r="V3" i="32" s="1"/>
  <c r="W3" i="32" s="1"/>
  <c r="X3" i="32" s="1"/>
  <c r="Y3" i="32" s="1"/>
  <c r="Z3" i="32" s="1"/>
  <c r="AA3" i="32" s="1"/>
  <c r="AB3" i="32" s="1"/>
  <c r="AC3" i="32" s="1"/>
  <c r="AD3" i="32" s="1"/>
  <c r="AE3" i="32" s="1"/>
  <c r="AF3" i="32" s="1"/>
  <c r="AG3" i="32" s="1"/>
  <c r="AH3" i="32" s="1"/>
  <c r="E3" i="33"/>
  <c r="F3" i="33" s="1"/>
  <c r="G3" i="33" s="1"/>
  <c r="H3" i="33" s="1"/>
  <c r="I3" i="33" s="1"/>
  <c r="J3" i="33" s="1"/>
  <c r="K3" i="33" s="1"/>
  <c r="L3" i="33" s="1"/>
  <c r="M3" i="33" s="1"/>
  <c r="N3" i="33" s="1"/>
  <c r="O3" i="33" s="1"/>
  <c r="P3" i="33" s="1"/>
  <c r="Q3" i="33" s="1"/>
  <c r="R3" i="33" s="1"/>
  <c r="S3" i="33" s="1"/>
  <c r="T3" i="33" s="1"/>
  <c r="U3" i="33" s="1"/>
  <c r="V3" i="33" s="1"/>
  <c r="W3" i="33" s="1"/>
  <c r="X3" i="33" s="1"/>
  <c r="Y3" i="33" s="1"/>
  <c r="Z3" i="33" s="1"/>
  <c r="AA3" i="33" s="1"/>
  <c r="AB3" i="33" s="1"/>
  <c r="AC3" i="33" s="1"/>
  <c r="AD3" i="33" s="1"/>
  <c r="AE3" i="33" s="1"/>
  <c r="AF3" i="33" s="1"/>
  <c r="AG3" i="33" s="1"/>
  <c r="AH3" i="33" s="1"/>
  <c r="AI3" i="33" s="1"/>
  <c r="AJ3" i="33" s="1"/>
  <c r="AK3" i="33" s="1"/>
  <c r="AL3" i="33" s="1"/>
  <c r="AM3" i="33" s="1"/>
  <c r="AN3" i="33" s="1"/>
  <c r="AO3" i="33" s="1"/>
  <c r="AP3" i="33" s="1"/>
  <c r="AQ3" i="33" s="1"/>
  <c r="AR3" i="33" s="1"/>
  <c r="AS3" i="33" s="1"/>
  <c r="AT3" i="33" s="1"/>
  <c r="AU3" i="33" s="1"/>
  <c r="AV3" i="33" s="1"/>
  <c r="AX3" i="33" s="1"/>
  <c r="AY3" i="33" s="1"/>
  <c r="AZ3" i="33" s="1"/>
  <c r="BA3" i="33" s="1"/>
  <c r="BB3" i="33" s="1"/>
  <c r="BC3" i="33" s="1"/>
  <c r="BD3" i="33" s="1"/>
  <c r="BE3" i="33" s="1"/>
  <c r="BF3" i="33" s="1"/>
  <c r="BG3" i="33" s="1"/>
  <c r="BH3" i="33" s="1"/>
  <c r="BI3" i="33" s="1"/>
  <c r="C11" i="5" l="1"/>
  <c r="G10" i="7"/>
  <c r="G38" i="7" s="1"/>
  <c r="G40" i="7" l="1"/>
  <c r="E11" i="5"/>
  <c r="E27" i="5" s="1"/>
  <c r="J10" i="7"/>
  <c r="D2" i="43"/>
  <c r="E2" i="43" s="1"/>
  <c r="F2" i="43" s="1"/>
  <c r="G2" i="43" s="1"/>
  <c r="H2" i="43" s="1"/>
  <c r="I2" i="43" s="1"/>
  <c r="J2" i="43" s="1"/>
  <c r="K2" i="43" s="1"/>
  <c r="L2" i="43" s="1"/>
  <c r="G39" i="43"/>
  <c r="H39" i="43" s="1"/>
  <c r="I39" i="43" s="1"/>
  <c r="J39" i="43" s="1"/>
  <c r="K39" i="43" s="1"/>
  <c r="L39" i="43" s="1"/>
  <c r="O39" i="43" s="1"/>
  <c r="BG109" i="86" l="1"/>
  <c r="BG110" i="86" s="1"/>
  <c r="L10" i="7"/>
  <c r="B11" i="5" s="1"/>
  <c r="F11" i="5" l="1"/>
  <c r="E32" i="5" l="1"/>
  <c r="W8" i="31" l="1"/>
  <c r="W24" i="31" l="1"/>
  <c r="G24" i="31" s="1"/>
  <c r="W23" i="31"/>
  <c r="C23" i="31" s="1"/>
  <c r="C8" i="31"/>
  <c r="C55" i="31" s="1"/>
  <c r="Q5" i="30"/>
  <c r="Q6" i="30" s="1"/>
  <c r="Q43" i="30" s="1"/>
  <c r="G8" i="31"/>
  <c r="C24" i="31" l="1"/>
  <c r="G23" i="31"/>
  <c r="B5" i="30"/>
  <c r="W25" i="31"/>
  <c r="G25" i="31" l="1"/>
  <c r="C25" i="31"/>
  <c r="B6" i="30"/>
  <c r="F14" i="6" s="1"/>
  <c r="B9" i="81" l="1"/>
  <c r="M14" i="6"/>
  <c r="J14" i="6"/>
  <c r="D9" i="81" l="1"/>
  <c r="M19" i="6"/>
  <c r="J19" i="6"/>
  <c r="M10" i="7" s="1"/>
  <c r="E14" i="7" l="1"/>
  <c r="E38" i="7" s="1"/>
  <c r="D13" i="5" l="1"/>
  <c r="D27" i="5" s="1"/>
  <c r="E40" i="7"/>
  <c r="BH109" i="86" l="1"/>
  <c r="BH110" i="86" s="1"/>
  <c r="AG34" i="30"/>
  <c r="D34" i="30" s="1"/>
  <c r="AN63" i="31" l="1"/>
  <c r="AN64" i="31" s="1"/>
  <c r="D21" i="30"/>
  <c r="AM63" i="31"/>
  <c r="AM64" i="31" s="1"/>
  <c r="AM59" i="31"/>
  <c r="I59" i="31" s="1"/>
  <c r="AP59" i="31"/>
  <c r="AP63" i="31"/>
  <c r="AP64" i="31" s="1"/>
  <c r="AQ63" i="31"/>
  <c r="AQ64" i="31" s="1"/>
  <c r="AQ59" i="31"/>
  <c r="AG37" i="30"/>
  <c r="D22" i="30"/>
  <c r="AR63" i="31"/>
  <c r="AR64" i="31" s="1"/>
  <c r="AR59" i="31"/>
  <c r="AO59" i="31"/>
  <c r="AO63" i="31"/>
  <c r="AO64" i="31" s="1"/>
  <c r="AG43" i="30" l="1"/>
  <c r="D43" i="30" s="1"/>
  <c r="D45" i="30"/>
  <c r="D47" i="30"/>
  <c r="D23" i="30"/>
  <c r="M59" i="31"/>
  <c r="B37" i="30"/>
  <c r="D49" i="30" l="1"/>
  <c r="D28" i="7"/>
  <c r="D29" i="7"/>
  <c r="D37" i="30"/>
  <c r="D44" i="30" s="1"/>
  <c r="D13" i="7"/>
  <c r="F13" i="7" s="1"/>
  <c r="J13" i="7" s="1"/>
  <c r="L13" i="7" s="1"/>
  <c r="F25" i="7"/>
  <c r="J25" i="7" s="1"/>
  <c r="L25" i="7" s="1"/>
  <c r="D26" i="7"/>
  <c r="D51" i="30" l="1"/>
  <c r="M30" i="7"/>
  <c r="F29" i="7"/>
  <c r="J29" i="7" s="1"/>
  <c r="L29" i="7" s="1"/>
  <c r="D30" i="7"/>
  <c r="F26" i="7"/>
  <c r="F17" i="7"/>
  <c r="D14" i="7"/>
  <c r="D38" i="7" l="1"/>
  <c r="D40" i="7" s="1"/>
  <c r="J17" i="7"/>
  <c r="L17" i="7" s="1"/>
  <c r="B15" i="5" s="1"/>
  <c r="F14" i="7"/>
  <c r="J19" i="7"/>
  <c r="F28" i="7"/>
  <c r="J28" i="7" l="1"/>
  <c r="J30" i="7" s="1"/>
  <c r="L30" i="7" s="1"/>
  <c r="N30" i="7" s="1"/>
  <c r="F30" i="7"/>
  <c r="L19" i="7"/>
  <c r="J14" i="7"/>
  <c r="I215" i="6" l="1"/>
  <c r="J217" i="6" s="1"/>
  <c r="J221" i="6" s="1"/>
  <c r="I230" i="6"/>
  <c r="L28" i="7"/>
  <c r="F15" i="5"/>
  <c r="M20" i="7"/>
  <c r="L14" i="7"/>
  <c r="M15" i="7" s="1"/>
  <c r="N19" i="7"/>
  <c r="L215" i="6" l="1"/>
  <c r="M217" i="6" s="1"/>
  <c r="M221" i="6" s="1"/>
  <c r="M223" i="6" s="1"/>
  <c r="L230" i="6"/>
  <c r="M232" i="6" s="1"/>
  <c r="J232" i="6"/>
  <c r="I107" i="6"/>
  <c r="J109" i="6" s="1"/>
  <c r="I123" i="6"/>
  <c r="J125" i="6" s="1"/>
  <c r="B21" i="5"/>
  <c r="F21" i="5" s="1"/>
  <c r="B13" i="5"/>
  <c r="N14" i="7"/>
  <c r="I60" i="6" s="1"/>
  <c r="F13" i="5" l="1"/>
  <c r="H17" i="81"/>
  <c r="I17" i="81" s="1"/>
  <c r="M234" i="6"/>
  <c r="M235" i="6" s="1"/>
  <c r="E17" i="81"/>
  <c r="F17" i="81" s="1"/>
  <c r="M224" i="6"/>
  <c r="H21" i="5" s="1"/>
  <c r="G21" i="5"/>
  <c r="J130" i="6"/>
  <c r="L107" i="6"/>
  <c r="M109" i="6" s="1"/>
  <c r="L123" i="6"/>
  <c r="M125" i="6" s="1"/>
  <c r="L60" i="6"/>
  <c r="M62" i="6" s="1"/>
  <c r="J62" i="6"/>
  <c r="D32" i="5"/>
  <c r="C17" i="82" l="1"/>
  <c r="J17" i="81"/>
  <c r="K17" i="81" s="1"/>
  <c r="B17" i="82"/>
  <c r="G17" i="81"/>
  <c r="M130" i="6"/>
  <c r="H13" i="81" s="1"/>
  <c r="D17" i="82" l="1"/>
  <c r="E17" i="82" s="1"/>
  <c r="I13" i="81"/>
  <c r="C13" i="82"/>
  <c r="H9" i="32" l="1"/>
  <c r="F8" i="32" l="1"/>
  <c r="K8" i="32"/>
  <c r="H8" i="32"/>
  <c r="J6" i="32"/>
  <c r="I9" i="32"/>
  <c r="F10" i="32"/>
  <c r="I10" i="32"/>
  <c r="J8" i="32"/>
  <c r="G6" i="32"/>
  <c r="F9" i="32"/>
  <c r="I7" i="32"/>
  <c r="H6" i="32"/>
  <c r="G10" i="32"/>
  <c r="J11" i="32"/>
  <c r="K9" i="32"/>
  <c r="K10" i="32"/>
  <c r="G9" i="32"/>
  <c r="H10" i="32"/>
  <c r="G7" i="32"/>
  <c r="K11" i="32"/>
  <c r="F11" i="32"/>
  <c r="F6" i="32"/>
  <c r="F157" i="6" s="1"/>
  <c r="K7" i="32"/>
  <c r="G8" i="32"/>
  <c r="I8" i="32"/>
  <c r="I6" i="32"/>
  <c r="F7" i="32"/>
  <c r="J7" i="32"/>
  <c r="J9" i="32"/>
  <c r="K6" i="32"/>
  <c r="J10" i="32"/>
  <c r="H7" i="32"/>
  <c r="B15" i="81" l="1"/>
  <c r="M157" i="6"/>
  <c r="G160" i="6"/>
  <c r="I21" i="32"/>
  <c r="F21" i="32"/>
  <c r="C15" i="81" l="1"/>
  <c r="M160" i="6"/>
  <c r="M164" i="6" s="1"/>
  <c r="J160" i="6"/>
  <c r="J157" i="6"/>
  <c r="D15" i="81" l="1"/>
  <c r="J164" i="6"/>
  <c r="M26" i="7" s="1"/>
  <c r="C19" i="5"/>
  <c r="I40" i="7"/>
  <c r="J26" i="7"/>
  <c r="C27" i="5" l="1"/>
  <c r="C32" i="5" s="1"/>
  <c r="BI109" i="86"/>
  <c r="BI110" i="86" s="1"/>
  <c r="L26" i="7"/>
  <c r="B19" i="5" s="1"/>
  <c r="N32" i="7"/>
  <c r="I258" i="6" s="1"/>
  <c r="F19" i="5" l="1"/>
  <c r="L258" i="6"/>
  <c r="M260" i="6" s="1"/>
  <c r="M264" i="6" s="1"/>
  <c r="J260" i="6"/>
  <c r="J264" i="6" s="1"/>
  <c r="M33" i="7"/>
  <c r="E19" i="81" l="1"/>
  <c r="H19" i="81"/>
  <c r="I19" i="81" s="1"/>
  <c r="M266" i="6"/>
  <c r="N33" i="7"/>
  <c r="F19" i="81" l="1"/>
  <c r="B19" i="82"/>
  <c r="G23" i="5"/>
  <c r="M267" i="6"/>
  <c r="H23" i="5" s="1"/>
  <c r="C19" i="82"/>
  <c r="D19" i="82" l="1"/>
  <c r="E19" i="82" s="1"/>
  <c r="J19" i="81"/>
  <c r="K19" i="81" s="1"/>
  <c r="G19" i="81"/>
  <c r="N26" i="7" l="1"/>
  <c r="M27" i="7"/>
  <c r="X35" i="31"/>
  <c r="Z35" i="31"/>
  <c r="V35" i="31"/>
  <c r="K32" i="31"/>
  <c r="G32" i="31"/>
  <c r="W35" i="31"/>
  <c r="Y35" i="31"/>
  <c r="U35" i="31"/>
  <c r="I166" i="6" l="1"/>
  <c r="L166" i="6" s="1"/>
  <c r="M168" i="6" s="1"/>
  <c r="I179" i="6"/>
  <c r="K35" i="31"/>
  <c r="G35" i="31"/>
  <c r="Y41" i="31"/>
  <c r="G41" i="31" s="1"/>
  <c r="U41" i="31"/>
  <c r="G37" i="31"/>
  <c r="O9" i="30"/>
  <c r="O10" i="30" s="1"/>
  <c r="O43" i="30" s="1"/>
  <c r="K9" i="30"/>
  <c r="K10" i="30" s="1"/>
  <c r="K43" i="30" s="1"/>
  <c r="S9" i="30"/>
  <c r="S10" i="30" s="1"/>
  <c r="S43" i="30" s="1"/>
  <c r="Q41" i="31"/>
  <c r="K37" i="31"/>
  <c r="C37" i="31"/>
  <c r="L179" i="6" l="1"/>
  <c r="M181" i="6" s="1"/>
  <c r="M188" i="6" s="1"/>
  <c r="H15" i="81" s="1"/>
  <c r="J181" i="6"/>
  <c r="J168" i="6"/>
  <c r="K58" i="31"/>
  <c r="K59" i="31"/>
  <c r="B9" i="30"/>
  <c r="K41" i="31"/>
  <c r="B43" i="30"/>
  <c r="B51" i="30" s="1"/>
  <c r="C41" i="31"/>
  <c r="C57" i="31" s="1"/>
  <c r="J188" i="6" l="1"/>
  <c r="C15" i="82"/>
  <c r="I15" i="81"/>
  <c r="B45" i="30"/>
  <c r="F65" i="6"/>
  <c r="C59" i="31"/>
  <c r="B47" i="30" s="1"/>
  <c r="B10" i="30"/>
  <c r="B44" i="30" s="1"/>
  <c r="G59" i="31"/>
  <c r="G58" i="31"/>
  <c r="E15" i="81" l="1"/>
  <c r="B15" i="82" s="1"/>
  <c r="M190" i="6"/>
  <c r="G19" i="5" s="1"/>
  <c r="J65" i="6"/>
  <c r="J71" i="6" s="1"/>
  <c r="J78" i="6" s="1"/>
  <c r="M65" i="6"/>
  <c r="M71" i="6" s="1"/>
  <c r="B49" i="30"/>
  <c r="F15" i="81" l="1"/>
  <c r="J15" i="81" s="1"/>
  <c r="K15" i="81" s="1"/>
  <c r="M191" i="6"/>
  <c r="H19" i="5" s="1"/>
  <c r="D15" i="82"/>
  <c r="E15" i="82" s="1"/>
  <c r="G15" i="81"/>
  <c r="E11" i="81"/>
  <c r="F11" i="81" l="1"/>
  <c r="B11" i="82"/>
  <c r="M93" i="86"/>
  <c r="M97" i="86"/>
  <c r="M95" i="86"/>
  <c r="M96" i="86"/>
  <c r="M98" i="86"/>
  <c r="K100" i="86"/>
  <c r="K102" i="86" s="1"/>
  <c r="M100" i="86" l="1"/>
  <c r="E21" i="81" l="1"/>
  <c r="F21" i="81" l="1"/>
  <c r="J21" i="81" s="1"/>
  <c r="K21" i="81" s="1"/>
  <c r="B21" i="82"/>
  <c r="D21" i="82" l="1"/>
  <c r="E21" i="82" s="1"/>
  <c r="E13" i="81" l="1"/>
  <c r="B13" i="82" l="1"/>
  <c r="F13" i="81"/>
  <c r="J13" i="81" s="1"/>
  <c r="K13" i="81" s="1"/>
  <c r="M132" i="6"/>
  <c r="M133" i="6" s="1"/>
  <c r="H15" i="5" s="1"/>
  <c r="D13" i="82" l="1"/>
  <c r="G15" i="5"/>
  <c r="E13" i="82" l="1"/>
  <c r="G13" i="81"/>
  <c r="M78" i="6"/>
  <c r="M80" i="6" s="1"/>
  <c r="G13" i="5" s="1"/>
  <c r="H11" i="81" l="1"/>
  <c r="G11" i="81"/>
  <c r="M81" i="6"/>
  <c r="H13" i="5" s="1"/>
  <c r="I11" i="81" l="1"/>
  <c r="J11" i="81" s="1"/>
  <c r="K11" i="81" s="1"/>
  <c r="C11" i="82"/>
  <c r="D11" i="82" l="1"/>
  <c r="E11" i="82" l="1"/>
  <c r="F35" i="7" l="1"/>
  <c r="D36" i="7"/>
  <c r="F36" i="7" s="1"/>
  <c r="F38" i="7" s="1"/>
  <c r="F40" i="7" s="1"/>
  <c r="J35" i="7" l="1"/>
  <c r="L35" i="7" s="1"/>
  <c r="N35" i="7" s="1"/>
  <c r="I325" i="6" s="1"/>
  <c r="J36" i="7" l="1"/>
  <c r="L36" i="7" s="1"/>
  <c r="L325" i="6"/>
  <c r="M327" i="6" s="1"/>
  <c r="M333" i="6" s="1"/>
  <c r="J327" i="6"/>
  <c r="J333" i="6" s="1"/>
  <c r="J38" i="7" l="1"/>
  <c r="J40" i="7" s="1"/>
  <c r="L40" i="7" s="1"/>
  <c r="N36" i="7"/>
  <c r="B25" i="5"/>
  <c r="E23" i="81"/>
  <c r="H23" i="81"/>
  <c r="M335" i="6"/>
  <c r="L38" i="7" l="1"/>
  <c r="F25" i="5"/>
  <c r="F27" i="5" s="1"/>
  <c r="F32" i="5" s="1"/>
  <c r="B27" i="5"/>
  <c r="B32" i="5" s="1"/>
  <c r="I23" i="81"/>
  <c r="C23" i="82"/>
  <c r="B23" i="82"/>
  <c r="F23" i="81"/>
  <c r="G25" i="5"/>
  <c r="M336" i="6"/>
  <c r="H25" i="5" s="1"/>
  <c r="G23" i="81"/>
  <c r="D23" i="82" l="1"/>
  <c r="J23" i="81"/>
  <c r="K23" i="81" s="1"/>
  <c r="E23" i="82" l="1"/>
  <c r="M11" i="7"/>
  <c r="M38" i="7"/>
  <c r="N38" i="7" s="1"/>
  <c r="N10" i="7"/>
  <c r="I21" i="6" s="1"/>
  <c r="M40" i="7" l="1"/>
  <c r="L21" i="6"/>
  <c r="M23" i="6" s="1"/>
  <c r="M31" i="6" s="1"/>
  <c r="J23" i="6"/>
  <c r="J31" i="6" s="1"/>
  <c r="E9" i="81" s="1"/>
  <c r="B9" i="82" l="1"/>
  <c r="B25" i="82" s="1"/>
  <c r="B33" i="82" s="1"/>
  <c r="F9" i="81"/>
  <c r="H9" i="81"/>
  <c r="M33" i="6"/>
  <c r="C9" i="82" l="1"/>
  <c r="I9" i="81"/>
  <c r="J9" i="81" s="1"/>
  <c r="K9" i="81" s="1"/>
  <c r="G11" i="5"/>
  <c r="M34" i="6"/>
  <c r="H11" i="5" s="1"/>
  <c r="G27" i="5" l="1"/>
  <c r="G9" i="81"/>
  <c r="C25" i="82"/>
  <c r="C33" i="82" s="1"/>
  <c r="D9" i="82"/>
  <c r="D25" i="82" l="1"/>
  <c r="E9" i="82"/>
  <c r="H27" i="5"/>
  <c r="G32" i="5"/>
  <c r="H32" i="5" s="1"/>
  <c r="E25" i="82" l="1"/>
  <c r="D33" i="82"/>
  <c r="E33" i="82" s="1"/>
</calcChain>
</file>

<file path=xl/sharedStrings.xml><?xml version="1.0" encoding="utf-8"?>
<sst xmlns="http://schemas.openxmlformats.org/spreadsheetml/2006/main" count="3860" uniqueCount="778">
  <si>
    <t>Distribution Charge</t>
  </si>
  <si>
    <t>Rate Category</t>
  </si>
  <si>
    <t>Tariff</t>
  </si>
  <si>
    <t>CCF</t>
  </si>
  <si>
    <t>Large Commercial Customers</t>
  </si>
  <si>
    <t>LGCMG865</t>
  </si>
  <si>
    <t>As-Available Gas Service, Commercial</t>
  </si>
  <si>
    <t>Public Authorities Customers</t>
  </si>
  <si>
    <t>Industrial Customers</t>
  </si>
  <si>
    <t>LGING866</t>
  </si>
  <si>
    <t>As-Available Gas Service, Industrial</t>
  </si>
  <si>
    <t>LGUMG860</t>
  </si>
  <si>
    <t>Commercial Gas Light</t>
  </si>
  <si>
    <t>LGCMG851</t>
  </si>
  <si>
    <t>Firm Commercial Gas Service</t>
  </si>
  <si>
    <t>Residential Customers</t>
  </si>
  <si>
    <t>LGUMG861</t>
  </si>
  <si>
    <t>Insight Gas Generators</t>
  </si>
  <si>
    <t>LGING855</t>
  </si>
  <si>
    <t>Firm Industrial Gas Service</t>
  </si>
  <si>
    <t>LGUMG830</t>
  </si>
  <si>
    <t>Residential Gas Light</t>
  </si>
  <si>
    <t>LGRSG811</t>
  </si>
  <si>
    <t>Residential Gas Service</t>
  </si>
  <si>
    <t>LGRSG811S1</t>
  </si>
  <si>
    <t>RGS Special Contract - Bullit Farm</t>
  </si>
  <si>
    <t>LGRSG840</t>
  </si>
  <si>
    <t>Volunteer Fire Department Gas</t>
  </si>
  <si>
    <t>LGCMG881</t>
  </si>
  <si>
    <t>Gas Transport Service, TS (CGS)</t>
  </si>
  <si>
    <t>TS Commercial</t>
  </si>
  <si>
    <t>LGING882</t>
  </si>
  <si>
    <t>Gas Transport Service, TS (IGS)</t>
  </si>
  <si>
    <t>TS Industrial</t>
  </si>
  <si>
    <t>LGING996</t>
  </si>
  <si>
    <t>Gas Special Contracts - LG&amp;E</t>
  </si>
  <si>
    <t>MC &amp; CR Gas Demand</t>
  </si>
  <si>
    <t>Paddy's Run Transport</t>
  </si>
  <si>
    <t>LGING896FD</t>
  </si>
  <si>
    <t>Ford Gas Transport</t>
  </si>
  <si>
    <t>FT</t>
  </si>
  <si>
    <t>LGCMG895</t>
  </si>
  <si>
    <t>Gas Transport Service, FT Commercial</t>
  </si>
  <si>
    <t>LGING896</t>
  </si>
  <si>
    <t>Gas Transport Service, FT Industrial</t>
  </si>
  <si>
    <t>LGING896PM</t>
  </si>
  <si>
    <t>Gas Transport Service, PS-FT Industrial</t>
  </si>
  <si>
    <t>LGCMG991</t>
  </si>
  <si>
    <t>Fort Knox - Special Contract</t>
  </si>
  <si>
    <t>LGING992</t>
  </si>
  <si>
    <t>E.I. DuPont - Special Contract</t>
  </si>
  <si>
    <t>LGING997</t>
  </si>
  <si>
    <t>Description</t>
  </si>
  <si>
    <t>Language</t>
  </si>
  <si>
    <t>ES</t>
  </si>
  <si>
    <t>EN</t>
  </si>
  <si>
    <t>LG&amp;E Commercial Gas Rate CGS</t>
  </si>
  <si>
    <t>LG&amp;E Commercial Gas Rate AAGS</t>
  </si>
  <si>
    <t>LGCMG875</t>
  </si>
  <si>
    <t>Distributed Generation Gas Service</t>
  </si>
  <si>
    <t>LG&amp;E Commercial Gas Rate DGGS</t>
  </si>
  <si>
    <t>Gas Transport - TS Commercial (CGS)</t>
  </si>
  <si>
    <t>LGCMG881PM</t>
  </si>
  <si>
    <t>Gas Transport - PS-TS Pool Manager (CGS)</t>
  </si>
  <si>
    <t>Gas Transport Service, PS-TS (CGS)</t>
  </si>
  <si>
    <t>LGCMG891</t>
  </si>
  <si>
    <t>Gas Transport - TS Commercial (AAGS)</t>
  </si>
  <si>
    <t>Gas Transport Service, TS  (AAGS Comm)</t>
  </si>
  <si>
    <t>LGCMG891PM</t>
  </si>
  <si>
    <t>Gas Trans,  PS-TS Pool Manager AAGS Comm</t>
  </si>
  <si>
    <t>Gas Transport Service, PS-TS (AAGS Comm)</t>
  </si>
  <si>
    <t>Gas Transport - FT Commercial</t>
  </si>
  <si>
    <t>LGCMG895PM</t>
  </si>
  <si>
    <t>Gas Transport - PS-FT Pool Mgr (Comm)</t>
  </si>
  <si>
    <t>Gas Transport Service, PS-FT Commercial</t>
  </si>
  <si>
    <t>Fort Knox Special Contract</t>
  </si>
  <si>
    <t>LGCMG995</t>
  </si>
  <si>
    <t>Off System Gas Sales</t>
  </si>
  <si>
    <t>LGCUG994</t>
  </si>
  <si>
    <t>Company Use - Gas</t>
  </si>
  <si>
    <t>LGE Company Use - Gas</t>
  </si>
  <si>
    <t>LG&amp;E Industrial Gas Rate</t>
  </si>
  <si>
    <t>LG&amp;E Industrial Gas Rate AAGS</t>
  </si>
  <si>
    <t>Gas Transport - TS Industrial (IGS)</t>
  </si>
  <si>
    <t>LGING882PM</t>
  </si>
  <si>
    <t>Gas Transport - PS-TS Pool Manager (IGS)</t>
  </si>
  <si>
    <t>Gas Transport Service, PS-TS (IGS)</t>
  </si>
  <si>
    <t>LGING892</t>
  </si>
  <si>
    <t>Gas Transport - TS Industrial (AAGS)</t>
  </si>
  <si>
    <t>Gas Transport Service, TS (AAGS Ind)</t>
  </si>
  <si>
    <t>LGING892PM</t>
  </si>
  <si>
    <t>Gas Trans,  PS-TS Pool Manager AAGS Ind</t>
  </si>
  <si>
    <t>Gas Transport Service,  PS-TS (AAGS Ind)</t>
  </si>
  <si>
    <t>Gas Transport - FT Industrial</t>
  </si>
  <si>
    <t>LGING896FM</t>
  </si>
  <si>
    <t>Ford Gas Transport - Pool Manager</t>
  </si>
  <si>
    <t>Gas Transport - PS-FT Pool Manager (Ind)</t>
  </si>
  <si>
    <t>E.I. DuPont Special Contract</t>
  </si>
  <si>
    <t>LGING995</t>
  </si>
  <si>
    <t>LG&amp;E Residential Gas Rate</t>
  </si>
  <si>
    <t>Old Rate Code</t>
  </si>
  <si>
    <t>CGS</t>
  </si>
  <si>
    <t>AAGS-C</t>
  </si>
  <si>
    <t>DGGS-C</t>
  </si>
  <si>
    <t>CGS-TS</t>
  </si>
  <si>
    <t>CGS-TS-PM</t>
  </si>
  <si>
    <t>AAGS-C-TS</t>
  </si>
  <si>
    <t>AAGS-C-TS-PM</t>
  </si>
  <si>
    <t>FT-C</t>
  </si>
  <si>
    <t>FT-C-PM</t>
  </si>
  <si>
    <t>SPC-FTKX</t>
  </si>
  <si>
    <t>IGS</t>
  </si>
  <si>
    <t>AAGS-I</t>
  </si>
  <si>
    <t>IGS-TS</t>
  </si>
  <si>
    <t>IGS-TS-PM</t>
  </si>
  <si>
    <t>AAGS-I-TS</t>
  </si>
  <si>
    <t>AAGS-I-TS-PM</t>
  </si>
  <si>
    <t>FT-I</t>
  </si>
  <si>
    <t>SPC-FORD</t>
  </si>
  <si>
    <t>SPC-FORD-PM</t>
  </si>
  <si>
    <t>FT-I-PM</t>
  </si>
  <si>
    <t>SPC-EIDuP</t>
  </si>
  <si>
    <t>OSS-I</t>
  </si>
  <si>
    <t>OSS-C</t>
  </si>
  <si>
    <t>SPC-LGE</t>
  </si>
  <si>
    <t>RGS</t>
  </si>
  <si>
    <t>Company</t>
  </si>
  <si>
    <t>851</t>
  </si>
  <si>
    <t>865</t>
  </si>
  <si>
    <t>875</t>
  </si>
  <si>
    <t>881</t>
  </si>
  <si>
    <t>891</t>
  </si>
  <si>
    <t>895</t>
  </si>
  <si>
    <t>991</t>
  </si>
  <si>
    <t>995</t>
  </si>
  <si>
    <t>994</t>
  </si>
  <si>
    <t>855</t>
  </si>
  <si>
    <t>866</t>
  </si>
  <si>
    <t>882</t>
  </si>
  <si>
    <t>892</t>
  </si>
  <si>
    <t>896</t>
  </si>
  <si>
    <t>992</t>
  </si>
  <si>
    <t>811</t>
  </si>
  <si>
    <t>840</t>
  </si>
  <si>
    <t>830</t>
  </si>
  <si>
    <t>860</t>
  </si>
  <si>
    <t>861</t>
  </si>
  <si>
    <t>MCF</t>
  </si>
  <si>
    <t>Revenue</t>
  </si>
  <si>
    <t>Month</t>
  </si>
  <si>
    <t>Intra-company</t>
  </si>
  <si>
    <t>PK</t>
  </si>
  <si>
    <t>Rate Class</t>
  </si>
  <si>
    <t>Rate Code</t>
  </si>
  <si>
    <t>CustChg</t>
  </si>
  <si>
    <t>Admin Chg</t>
  </si>
  <si>
    <t>UCDI Storage</t>
  </si>
  <si>
    <t>Demand Chg</t>
  </si>
  <si>
    <t># of Contracts</t>
  </si>
  <si>
    <t>CustChrg</t>
  </si>
  <si>
    <t xml:space="preserve">ACTUALS </t>
  </si>
  <si>
    <t>CCF OnPeak</t>
  </si>
  <si>
    <t>CCF OffPeak</t>
  </si>
  <si>
    <t>CustChrg &gt;5000cf/hr</t>
  </si>
  <si>
    <t>CustRevenue</t>
  </si>
  <si>
    <t>ACTUALS</t>
  </si>
  <si>
    <t>Dist OnPeak CCF</t>
  </si>
  <si>
    <t>Dist OffPeak CCF</t>
  </si>
  <si>
    <t>CustRev &gt;5000cf/hr</t>
  </si>
  <si>
    <t>SumCalc Revenue</t>
  </si>
  <si>
    <t>CorrFactor</t>
  </si>
  <si>
    <t>DSM Rev</t>
  </si>
  <si>
    <t>HEA</t>
  </si>
  <si>
    <t>CustChg Revenue</t>
  </si>
  <si>
    <t>ADJUSTMENTS</t>
  </si>
  <si>
    <t>CustRev</t>
  </si>
  <si>
    <t>Distribution Revenue</t>
  </si>
  <si>
    <t>GSC Rev</t>
  </si>
  <si>
    <t>GSC</t>
  </si>
  <si>
    <t xml:space="preserve">                     MONTHLY GAS ADJUSTMENTS</t>
  </si>
  <si>
    <t>DSM</t>
  </si>
  <si>
    <t>RATES</t>
  </si>
  <si>
    <t>100 Cu. Ft.)</t>
  </si>
  <si>
    <t>Gas Supply</t>
  </si>
  <si>
    <t>Residential</t>
  </si>
  <si>
    <t>Commercial</t>
  </si>
  <si>
    <t>Value</t>
  </si>
  <si>
    <t>Clause</t>
  </si>
  <si>
    <t>Rate</t>
  </si>
  <si>
    <t xml:space="preserve">CGS, </t>
  </si>
  <si>
    <t xml:space="preserve">Delivery </t>
  </si>
  <si>
    <t>AAGS,</t>
  </si>
  <si>
    <t>Surcredit</t>
  </si>
  <si>
    <t>Cubic Feet)</t>
  </si>
  <si>
    <t>&amp; VFD</t>
  </si>
  <si>
    <t>TS and FT</t>
  </si>
  <si>
    <t>(% X Total Bill)</t>
  </si>
  <si>
    <t># of Contracts-Low Capacity</t>
  </si>
  <si>
    <t># of Contracts-High Capacity</t>
  </si>
  <si>
    <t># of Cust - Low Cap.</t>
  </si>
  <si>
    <t># of Cust - High Cap.</t>
  </si>
  <si>
    <t>CustRev &lt;5000cf/hr</t>
  </si>
  <si>
    <t>DistRev</t>
  </si>
  <si>
    <t>GSCRev</t>
  </si>
  <si>
    <t>( $ Per 100</t>
  </si>
  <si>
    <t>( $ Per</t>
  </si>
  <si>
    <t>Total</t>
  </si>
  <si>
    <t>($ per Mcf)</t>
  </si>
  <si>
    <t>Demand</t>
  </si>
  <si>
    <t>Demand Revenue</t>
  </si>
  <si>
    <t>LOUISVILLE GAS AND ELECTRIC COMPANY</t>
  </si>
  <si>
    <t>TOTAL</t>
  </si>
  <si>
    <t>Customers</t>
  </si>
  <si>
    <t>Mcf</t>
  </si>
  <si>
    <t>Demand Charge</t>
  </si>
  <si>
    <t>12-month</t>
  </si>
  <si>
    <t>WNA</t>
  </si>
  <si>
    <t>Net Revenue</t>
  </si>
  <si>
    <t>Rate AAGS</t>
  </si>
  <si>
    <t>Rate FT</t>
  </si>
  <si>
    <t>Less:</t>
  </si>
  <si>
    <t xml:space="preserve">(10)    </t>
  </si>
  <si>
    <t>Net</t>
  </si>
  <si>
    <t>As Available Gas Service (AAGS)</t>
  </si>
  <si>
    <t xml:space="preserve">(1)    </t>
  </si>
  <si>
    <t xml:space="preserve">(2)    </t>
  </si>
  <si>
    <t xml:space="preserve">(3)    </t>
  </si>
  <si>
    <t xml:space="preserve">(4)    </t>
  </si>
  <si>
    <t xml:space="preserve">(6)    </t>
  </si>
  <si>
    <t xml:space="preserve">(7)    </t>
  </si>
  <si>
    <t xml:space="preserve">Less:  </t>
  </si>
  <si>
    <t>Calculated</t>
  </si>
  <si>
    <t>excluding</t>
  </si>
  <si>
    <t>Demand-Side</t>
  </si>
  <si>
    <t>Column 2</t>
  </si>
  <si>
    <t>Billed</t>
  </si>
  <si>
    <t>Adjusted to</t>
  </si>
  <si>
    <t>Cost (GSC)</t>
  </si>
  <si>
    <t xml:space="preserve">GSC </t>
  </si>
  <si>
    <t>Mgmt. (DSM)</t>
  </si>
  <si>
    <t>divided by</t>
  </si>
  <si>
    <t>Cashouts and</t>
  </si>
  <si>
    <t xml:space="preserve">at </t>
  </si>
  <si>
    <t>Page 1, Col. 7</t>
  </si>
  <si>
    <t>Column 1</t>
  </si>
  <si>
    <t>Off-system sales</t>
  </si>
  <si>
    <t>Base Rates</t>
  </si>
  <si>
    <t>GAS SALES AND TRANSPORTATION</t>
  </si>
  <si>
    <t xml:space="preserve">Residential Gas Service Rate RGS </t>
  </si>
  <si>
    <t xml:space="preserve">     Total Residential Gas Service Rate RGS </t>
  </si>
  <si>
    <t xml:space="preserve">Firm Commercial Gas Service Rate CGS </t>
  </si>
  <si>
    <t>Gas Transportation Service/Standby Rider to Rate CGS</t>
  </si>
  <si>
    <t xml:space="preserve">     Total Firm Commercial Gas Service Rate CGS</t>
  </si>
  <si>
    <t xml:space="preserve">Firm Industrial Gas Service Rate IGS </t>
  </si>
  <si>
    <t>Gas Transportation Service/Standby Rider to Rate IGS</t>
  </si>
  <si>
    <t xml:space="preserve">     Total Firm Industrial Gas Service Rate IGS</t>
  </si>
  <si>
    <t>As Available Gas Service</t>
  </si>
  <si>
    <t xml:space="preserve">     Total Rate AAGS</t>
  </si>
  <si>
    <t>Firm Transportation Service Rate FT</t>
  </si>
  <si>
    <t xml:space="preserve">     Total Rate FT</t>
  </si>
  <si>
    <t xml:space="preserve">Intra-Company Special Contract - Sales Customers </t>
  </si>
  <si>
    <t xml:space="preserve">     Total Intra-Company</t>
  </si>
  <si>
    <t>Total Ultimate Consumers</t>
  </si>
  <si>
    <t>Grand Total</t>
  </si>
  <si>
    <t>WNA Revenue</t>
  </si>
  <si>
    <t>Present</t>
  </si>
  <si>
    <t>@ Present</t>
  </si>
  <si>
    <t>Rates</t>
  </si>
  <si>
    <t>RATE RGS:</t>
  </si>
  <si>
    <t>Residential Gas Service Rate RGS</t>
  </si>
  <si>
    <t>Customer Charges</t>
  </si>
  <si>
    <t xml:space="preserve">         Total Rate RGS</t>
  </si>
  <si>
    <t>RATE CGS:</t>
  </si>
  <si>
    <t>Firm Commercial Gas Service Rate CGS</t>
  </si>
  <si>
    <t>Customer Charges (meters &lt; 5000 cfh)</t>
  </si>
  <si>
    <t>Customer Charges (meters 5000 cfh or &gt;)</t>
  </si>
  <si>
    <t>On Peak Mcf</t>
  </si>
  <si>
    <t>Off Peak Mcf</t>
  </si>
  <si>
    <t>Administrative Charges</t>
  </si>
  <si>
    <t xml:space="preserve">         Total Rate CGS</t>
  </si>
  <si>
    <t>RATE IGS:</t>
  </si>
  <si>
    <t>Firm Industrial Gas Service Rate IGS</t>
  </si>
  <si>
    <t xml:space="preserve">         Total Rate IGS</t>
  </si>
  <si>
    <t xml:space="preserve">         Total Rate AAGS</t>
  </si>
  <si>
    <t>RATE FT:</t>
  </si>
  <si>
    <t>Firm Transportation Service (Non-Standby) Rate FT</t>
  </si>
  <si>
    <t xml:space="preserve">         Total Rate FT</t>
  </si>
  <si>
    <t>AAGS</t>
  </si>
  <si>
    <t>TSC-Cashout</t>
  </si>
  <si>
    <t>TSI-Cashout</t>
  </si>
  <si>
    <t>Customer-Mos.</t>
  </si>
  <si>
    <t xml:space="preserve">Mcf      </t>
  </si>
  <si>
    <t>SALES</t>
  </si>
  <si>
    <t>Total Residential</t>
  </si>
  <si>
    <t>AAGS - Commercial</t>
  </si>
  <si>
    <t>Total Commercial</t>
  </si>
  <si>
    <t>AAGS - Industrial</t>
  </si>
  <si>
    <t>Total Industrial</t>
  </si>
  <si>
    <t xml:space="preserve">INTRA-COMPANY </t>
  </si>
  <si>
    <t>TRANSPORTATION</t>
  </si>
  <si>
    <t>Rate FT Commercial</t>
  </si>
  <si>
    <t>Rate FT Industrial</t>
  </si>
  <si>
    <t>Total Rate FT - Transportation</t>
  </si>
  <si>
    <t>TOTAL Transportation</t>
  </si>
  <si>
    <t>Total AAGS</t>
  </si>
  <si>
    <t>REVENUE</t>
  </si>
  <si>
    <t xml:space="preserve">Mcf   </t>
  </si>
  <si>
    <t xml:space="preserve">  Total Residential Gas Service Rate RGS </t>
  </si>
  <si>
    <t>Transportation Service/Standby Rider to Rate CGS</t>
  </si>
  <si>
    <t xml:space="preserve">  Total Firm Commercial Gas Service Rate CGS</t>
  </si>
  <si>
    <t>Transportation Service/Standby Rider to Rate IGS</t>
  </si>
  <si>
    <t xml:space="preserve">  Total Firm Industrial Gas Service Rate IGS</t>
  </si>
  <si>
    <t xml:space="preserve">As Available Gas Service - Commercial  </t>
  </si>
  <si>
    <t>As Available Gas Service - Industrial</t>
  </si>
  <si>
    <t xml:space="preserve">  Total Rate AAGS</t>
  </si>
  <si>
    <t>Firm Transportation Service Rate FT - Commercial</t>
  </si>
  <si>
    <t>Firm Transportation Service Rate FT - Industrial</t>
  </si>
  <si>
    <t xml:space="preserve">  Total Rate FT</t>
  </si>
  <si>
    <t xml:space="preserve">     Total IntraCompany Sales &amp; Rate FT</t>
  </si>
  <si>
    <t xml:space="preserve">  Pooling Service Rate PS-FT</t>
  </si>
  <si>
    <t xml:space="preserve">     Total Sales and Transportation Service</t>
  </si>
  <si>
    <t xml:space="preserve">  Total Sales and Transportation Service</t>
  </si>
  <si>
    <t>As Available Gas Service Rate AAGS</t>
  </si>
  <si>
    <t>Off-Peak</t>
  </si>
  <si>
    <t>INTRA-COMPANY SPECIAL CONTRACTS</t>
  </si>
  <si>
    <t>Customers for the 12-Month Period</t>
  </si>
  <si>
    <t xml:space="preserve">Key Column for </t>
  </si>
  <si>
    <t>Lookups</t>
  </si>
  <si>
    <t>UCDI</t>
  </si>
  <si>
    <t>FT Commercial</t>
  </si>
  <si>
    <t>FT Industrial</t>
  </si>
  <si>
    <t>PS-FT Industrial</t>
  </si>
  <si>
    <t>Public Authority FT Industrial</t>
  </si>
  <si>
    <t>Public Authority FT Commercial</t>
  </si>
  <si>
    <t>Intercompany</t>
  </si>
  <si>
    <t>For Rate FT Lookups</t>
  </si>
  <si>
    <t>CustRevenue / CustRev &lt;5000cf/hr</t>
  </si>
  <si>
    <t>from TS Tab</t>
  </si>
  <si>
    <t>Bruise Report Description</t>
  </si>
  <si>
    <t>Admin Chg - Pools</t>
  </si>
  <si>
    <t>Pipeline</t>
  </si>
  <si>
    <t>Suppliers</t>
  </si>
  <si>
    <t>Component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</si>
  <si>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</si>
  <si>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</si>
  <si>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</si>
  <si>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</si>
  <si>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</si>
  <si>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</si>
  <si>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</si>
  <si>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</si>
  <si>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</si>
  <si>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</si>
  <si>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</si>
  <si>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</si>
  <si>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</si>
  <si>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</si>
  <si>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</si>
  <si>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</si>
  <si>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</si>
  <si>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</si>
  <si>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</si>
  <si>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</si>
  <si>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</si>
  <si>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</si>
  <si>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</si>
  <si>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</si>
  <si>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</si>
  <si>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</si>
  <si>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</si>
  <si>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</si>
  <si>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</si>
  <si>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</si>
  <si>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</si>
  <si>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</si>
  <si>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</si>
  <si>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</si>
  <si>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</si>
  <si>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Rate RGS</t>
  </si>
  <si>
    <t>Rate CGS</t>
  </si>
  <si>
    <t>Rate IGS</t>
  </si>
  <si>
    <t>TOTAL - Billing Determinants</t>
  </si>
  <si>
    <t>Base Rate</t>
  </si>
  <si>
    <t>Subtotal</t>
  </si>
  <si>
    <t>Administrative Charge</t>
  </si>
  <si>
    <t>Cust Chg</t>
  </si>
  <si>
    <t>Increase</t>
  </si>
  <si>
    <t>Proposed rate in most recent GSC filing</t>
  </si>
  <si>
    <t>Residential Gas Service - Rate RGS</t>
  </si>
  <si>
    <t>Commercial Gas Service - Rate CGS</t>
  </si>
  <si>
    <t>Industrial Gas Service - Rate IGS</t>
  </si>
  <si>
    <t>As-Available Gas Service - Rate AAGS</t>
  </si>
  <si>
    <t>Special Contract - Intra-Company Sales</t>
  </si>
  <si>
    <t>Total Sales to Ultimate Consumers and Inter-Company</t>
  </si>
  <si>
    <t>Current</t>
  </si>
  <si>
    <t>Change</t>
  </si>
  <si>
    <t>Other Gas Revenue</t>
  </si>
  <si>
    <t>Miscellaneous Service Revenue</t>
  </si>
  <si>
    <t>Subtotal Sales to Ultimate Consumers and Inter-Company</t>
  </si>
  <si>
    <t>Miscellaneous Revenue</t>
  </si>
  <si>
    <t xml:space="preserve">(8)    </t>
  </si>
  <si>
    <t xml:space="preserve">(9)    </t>
  </si>
  <si>
    <t>(11)</t>
  </si>
  <si>
    <t>(12)</t>
  </si>
  <si>
    <t>(13)</t>
  </si>
  <si>
    <t>Rate DGGS</t>
  </si>
  <si>
    <t>Gas Transport Service, TS /TS-2  (AAGS Comm)</t>
  </si>
  <si>
    <t>Gas Transport Service, PS-TS/PS-TS-2  (AAGS Comm)</t>
  </si>
  <si>
    <t>Gas Transport Service, TS/TS-2 (AAGS Ind)</t>
  </si>
  <si>
    <t>Gas Transport Service,  PS-TS/TS-2 (AAGS Ind)</t>
  </si>
  <si>
    <t>On-Peak Distribution</t>
  </si>
  <si>
    <t>Off-Peak Distribution</t>
  </si>
  <si>
    <t>Gas Transport Service, TS/TS-2 (CGS)</t>
  </si>
  <si>
    <t>Gas Transport Service, TS/TS-2 (IGS)</t>
  </si>
  <si>
    <t>Gas Transport Service, PS-TS/TS-2 (IGS)</t>
  </si>
  <si>
    <t>Gas Line Tracker</t>
  </si>
  <si>
    <t>Gas Trans Large Comm Cust</t>
  </si>
  <si>
    <t>Gas Trans Pub Auth Cust</t>
  </si>
  <si>
    <t>Gas Trans Ind Cust</t>
  </si>
  <si>
    <t>Gas Trans Intercompany</t>
  </si>
  <si>
    <t xml:space="preserve">Gas </t>
  </si>
  <si>
    <t>Line</t>
  </si>
  <si>
    <t>Tracker</t>
  </si>
  <si>
    <t>Rate VFD</t>
  </si>
  <si>
    <t>GLT</t>
  </si>
  <si>
    <t>TS-2: Gas Transport/Firm Balancing (IGS)</t>
  </si>
  <si>
    <t>Customer Charge</t>
  </si>
  <si>
    <t>Retail</t>
  </si>
  <si>
    <t>CGS Gas Lights</t>
  </si>
  <si>
    <t>LGCMG851LT</t>
  </si>
  <si>
    <t>Commercial Gas Service (Lights)</t>
  </si>
  <si>
    <t>Gas Transportation Service, Pool Manager</t>
  </si>
  <si>
    <t>Pooling Service Rate FT</t>
  </si>
  <si>
    <t xml:space="preserve">  Pooling Service Rate PS-TS/TS-2</t>
  </si>
  <si>
    <t>Total Pooling Service</t>
  </si>
  <si>
    <t>Variance</t>
  </si>
  <si>
    <t>Distribution</t>
  </si>
  <si>
    <t xml:space="preserve">(5)    </t>
  </si>
  <si>
    <t>Pooling Service Rate FT-Admin Fee</t>
  </si>
  <si>
    <t>Pooling Service Rate PS-FT-Admin Charges</t>
  </si>
  <si>
    <t>Pooling Service Rate PS-FT-Other Charges</t>
  </si>
  <si>
    <t xml:space="preserve">     Total Pool Service </t>
  </si>
  <si>
    <t>TS-2: Gas Trans/Firm Balancing (AAGS In)</t>
  </si>
  <si>
    <t>Low Cap</t>
  </si>
  <si>
    <t>Hi Cap</t>
  </si>
  <si>
    <t>Full</t>
  </si>
  <si>
    <t>Discount</t>
  </si>
  <si>
    <t>Rider TS-2 As Available Gas Service</t>
  </si>
  <si>
    <t>Gas Transportation Service/Standby Rider to Rate AAGS</t>
  </si>
  <si>
    <t>LPC</t>
  </si>
  <si>
    <t>TYPE OF FILING: __X__ ORIGINAL  _____ UPDATED  _____ REVISED</t>
  </si>
  <si>
    <t>WORK PAPER REFERENCE NO(S):</t>
  </si>
  <si>
    <t>Gas Supply Clause</t>
  </si>
  <si>
    <t>Demand-Side Management</t>
  </si>
  <si>
    <t>Total Intra-Company Special Contract - Sales Customer</t>
  </si>
  <si>
    <t>Intra-Company Special Contract - Sales Customer</t>
  </si>
  <si>
    <t xml:space="preserve">GLT </t>
  </si>
  <si>
    <t>SCHEDULE M</t>
  </si>
  <si>
    <t>FORECASTED PERIOD:</t>
  </si>
  <si>
    <t>SCHEDULE</t>
  </si>
  <si>
    <t>DESCRIPTION</t>
  </si>
  <si>
    <t>Total Revenue at Present Rates</t>
  </si>
  <si>
    <t>Residential Gas Service (RGS)</t>
  </si>
  <si>
    <t>Commercial Gas Service (CGS)</t>
  </si>
  <si>
    <t>Industrial Gas Service (IGS)</t>
  </si>
  <si>
    <t>Special Contract Intra-Company Sales</t>
  </si>
  <si>
    <t>Firm Transportation (FT)</t>
  </si>
  <si>
    <t>Distributed Generation Gas Service (DGGS)</t>
  </si>
  <si>
    <t>Page 1 of 1</t>
  </si>
  <si>
    <t>Customer Months</t>
  </si>
  <si>
    <t>Annual Revenue at Current Rates</t>
  </si>
  <si>
    <t>Average Current Bill</t>
  </si>
  <si>
    <t>@ Current Rates</t>
  </si>
  <si>
    <t>DGGS</t>
  </si>
  <si>
    <t>LGING866DS</t>
  </si>
  <si>
    <t>LGING855DS</t>
  </si>
  <si>
    <t>PSC Gas No. 10, Effective July 1, 2015</t>
  </si>
  <si>
    <t>AAGS-C-TS-2</t>
  </si>
  <si>
    <t>AAGS-C-TS-2-PM</t>
  </si>
  <si>
    <t>AAGS-I-TS-2</t>
  </si>
  <si>
    <t>AAGS-I-TS-2-PM</t>
  </si>
  <si>
    <t>CGS-TS-2</t>
  </si>
  <si>
    <t>CGS-TS-2-PM</t>
  </si>
  <si>
    <t>IGS-TS-2</t>
  </si>
  <si>
    <t>IGS-TS-2-PM</t>
  </si>
  <si>
    <t>12 Months Ended February 28, 2017</t>
  </si>
  <si>
    <t>TS-2 AAGS</t>
  </si>
  <si>
    <t>TS-2 Industrial Pool Manager</t>
  </si>
  <si>
    <t>TS-2 Commercial</t>
  </si>
  <si>
    <t>TS-2 Industrial</t>
  </si>
  <si>
    <t>AAGS TS-2</t>
  </si>
  <si>
    <t>Gas Transportation Service, TS-2 (AAGS)</t>
  </si>
  <si>
    <t>Gas Transport Service, TS-2 (CGS)</t>
  </si>
  <si>
    <t>Gas Transport Service, TS-2 (IGS)</t>
  </si>
  <si>
    <t>Adm Chg</t>
  </si>
  <si>
    <t>LGING896DS</t>
  </si>
  <si>
    <t>AAGS TS-2-PM</t>
  </si>
  <si>
    <t>TS AAGS</t>
  </si>
  <si>
    <t>TS-2 Commercial Pool Manager</t>
  </si>
  <si>
    <t>TS-2 AAGS-C</t>
  </si>
  <si>
    <t>TS-2 AAGS-I</t>
  </si>
  <si>
    <t>Rider TS-2 / CGS</t>
  </si>
  <si>
    <t>Rider TS-2 / IGS</t>
  </si>
  <si>
    <t>Rider TS-2 / AAGS Commercial</t>
  </si>
  <si>
    <t>Rider TS-2 / AAGS Industrial</t>
  </si>
  <si>
    <t>Total Rider TS-2 - Transportation</t>
  </si>
  <si>
    <t>Pooling Service Rate TS-2 AAGS</t>
  </si>
  <si>
    <t>Pooling Service Rate TS-2 IGS</t>
  </si>
  <si>
    <t>DGGS-Commercial</t>
  </si>
  <si>
    <t>IGS Opt Out</t>
  </si>
  <si>
    <t>As-Available Gas Service, Industrial Opt Out</t>
  </si>
  <si>
    <t>LGING882DS</t>
  </si>
  <si>
    <t>LGING892DS</t>
  </si>
  <si>
    <t>AX</t>
  </si>
  <si>
    <t># Customers</t>
  </si>
  <si>
    <t>Sep 2016</t>
  </si>
  <si>
    <t>Oct 2016</t>
  </si>
  <si>
    <t>Nov 2016</t>
  </si>
  <si>
    <t>Dec 2016</t>
  </si>
  <si>
    <t>Jan 2017</t>
  </si>
  <si>
    <t>Feb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</si>
  <si>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</si>
  <si>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</si>
  <si>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</si>
  <si>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</si>
  <si>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</si>
  <si>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</si>
  <si>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</si>
  <si>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</si>
  <si>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</si>
  <si>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</si>
  <si>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</si>
  <si>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</si>
  <si>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InterCo</t>
  </si>
  <si>
    <t>FT-PA</t>
  </si>
  <si>
    <t>Admin</t>
  </si>
  <si>
    <t>Pool</t>
  </si>
  <si>
    <t>Pool Mgr Fee</t>
  </si>
  <si>
    <t>Admin Rev</t>
  </si>
  <si>
    <t>Pool Mgr Rev</t>
  </si>
  <si>
    <t>CURRENT CHARGES</t>
  </si>
  <si>
    <t>CALCULATED REVENUES</t>
  </si>
  <si>
    <t>LOAD FORECAST</t>
  </si>
  <si>
    <t>CALCULATED TOTALS</t>
  </si>
  <si>
    <t>Forecasted</t>
  </si>
  <si>
    <t>12 Months Ended June 30, 2018</t>
  </si>
  <si>
    <t>5 Winter Months Nov-Dec17, Jan18-Mar18</t>
  </si>
  <si>
    <t xml:space="preserve">7 Summer Months Jul17 thru Oct17, Apr18-Jun18 </t>
  </si>
  <si>
    <t>FOR THE 12 MONTHS ENDED JUNE 30, 2018</t>
  </si>
  <si>
    <t>GAS OPERATIONS</t>
  </si>
  <si>
    <t>M-2.1-G</t>
  </si>
  <si>
    <t>M-2.2-G</t>
  </si>
  <si>
    <t>M-2.3-G</t>
  </si>
  <si>
    <t>DATA:  ____ BASE PERIOD  __X__  FORECAST PERIOD</t>
  </si>
  <si>
    <t>SCHEDULE M-2.1-G</t>
  </si>
  <si>
    <t>SCHEDULE M-2.2-G</t>
  </si>
  <si>
    <t># PM Cust</t>
  </si>
  <si>
    <t>Total Retail Budget</t>
  </si>
  <si>
    <t>Total Intra-Company</t>
  </si>
  <si>
    <t>TOTAL - Intra-Company</t>
  </si>
  <si>
    <t>TOTAL Retail Budget</t>
  </si>
  <si>
    <t>TOTAL Calculated Retail</t>
  </si>
  <si>
    <t>Total SBR Billing Determinants</t>
  </si>
  <si>
    <t>Pooling Service PS-TS-2</t>
  </si>
  <si>
    <t>Pooling Service Rate PS-FT</t>
  </si>
  <si>
    <t>LG&amp;E Natural Gas Volume Forecast (Calendar Volumes, MCF)</t>
  </si>
  <si>
    <t>2017 BP</t>
  </si>
  <si>
    <t>Revenue Class</t>
  </si>
  <si>
    <t>Fcst Agg</t>
  </si>
  <si>
    <t>CCS Tariff Name</t>
  </si>
  <si>
    <t>Residential Total</t>
  </si>
  <si>
    <t>CAAGS</t>
  </si>
  <si>
    <t>CGS &lt; 5000 cf/hr</t>
  </si>
  <si>
    <t>CGS &gt; 5000 cf/hr</t>
  </si>
  <si>
    <t>Commercial Total</t>
  </si>
  <si>
    <t>IAAGS</t>
  </si>
  <si>
    <t>IGS &lt; 5000 cf/hr</t>
  </si>
  <si>
    <t>IGS &gt; 5000 cf/hr</t>
  </si>
  <si>
    <t>Industrial Total</t>
  </si>
  <si>
    <t>Public Authority Total</t>
  </si>
  <si>
    <t>IFT</t>
  </si>
  <si>
    <t>TS-2</t>
  </si>
  <si>
    <t>Gas Trans Ind Total</t>
  </si>
  <si>
    <t>CFT</t>
  </si>
  <si>
    <t>Gas Trans Large Comm Total</t>
  </si>
  <si>
    <t>Gas Trans Pub Auth Total</t>
  </si>
  <si>
    <t xml:space="preserve"> </t>
  </si>
  <si>
    <t>Transportation Subtotals for Gas Supply:</t>
  </si>
  <si>
    <t>Total TS Transportation</t>
  </si>
  <si>
    <t>Total FT Transportation</t>
  </si>
  <si>
    <t>PACGS &lt; 5000 cf/hr</t>
  </si>
  <si>
    <t>PAIGS &lt; 5000 cf/hr</t>
  </si>
  <si>
    <t>CGS &lt; 100 Mcf</t>
  </si>
  <si>
    <t>CGS &gt; 100 Mcf</t>
  </si>
  <si>
    <t>IGS &lt; 100 Mcf</t>
  </si>
  <si>
    <t>IGS &gt; 100 Mcf</t>
  </si>
  <si>
    <t>Demand Rev</t>
  </si>
  <si>
    <t>TOTAL InterCompany</t>
  </si>
  <si>
    <t>TOTAL Retail</t>
  </si>
  <si>
    <t>Forecasted Revenue</t>
  </si>
  <si>
    <t>as Forecasted</t>
  </si>
  <si>
    <t>Forecast</t>
  </si>
  <si>
    <t>RATE DGGS</t>
  </si>
  <si>
    <t xml:space="preserve">     Total Distributed Generation Gas Service Rate DGGS</t>
  </si>
  <si>
    <t>Pool Manager Fee</t>
  </si>
  <si>
    <t xml:space="preserve">Customer </t>
  </si>
  <si>
    <t>Months</t>
  </si>
  <si>
    <t>IGS-TS-2 PM</t>
  </si>
  <si>
    <t>Distributed Generation Gas Service - Rate DGGS</t>
  </si>
  <si>
    <t>Witness:  W. S. SEELYE</t>
  </si>
  <si>
    <t>Average Consumption-Mcf</t>
  </si>
  <si>
    <t>Change in Average Bill</t>
  </si>
  <si>
    <t>Percentage Change in Average Bill</t>
  </si>
  <si>
    <t>Total Revenue at Proposed Rates</t>
  </si>
  <si>
    <t>Change in Total Revenue</t>
  </si>
  <si>
    <t>Percent Change in Total Revenue</t>
  </si>
  <si>
    <t>Forecasted Mcf</t>
  </si>
  <si>
    <t>Percentage</t>
  </si>
  <si>
    <t xml:space="preserve">Unit </t>
  </si>
  <si>
    <t>Charges</t>
  </si>
  <si>
    <t>Load Forecast</t>
  </si>
  <si>
    <t>DGGS not</t>
  </si>
  <si>
    <t>included in Load</t>
  </si>
  <si>
    <t>Load Forecast Total</t>
  </si>
  <si>
    <t>Load Transp Total</t>
  </si>
  <si>
    <t>DGGS Cust not in Load</t>
  </si>
  <si>
    <t>ck figure</t>
  </si>
  <si>
    <t>Bill Det</t>
  </si>
  <si>
    <t>$ Forecast</t>
  </si>
  <si>
    <t>Per Month</t>
  </si>
  <si>
    <t>Total Retail</t>
  </si>
  <si>
    <t>Energy</t>
  </si>
  <si>
    <t>mcf</t>
  </si>
  <si>
    <t>Load Total</t>
  </si>
  <si>
    <t>Bill Det Total</t>
  </si>
  <si>
    <t>Transport</t>
  </si>
  <si>
    <t>Total Load Retail</t>
  </si>
  <si>
    <t>No Discount</t>
  </si>
  <si>
    <t>DGGS Vol not in Load</t>
  </si>
  <si>
    <t>No discount</t>
  </si>
  <si>
    <t>Fin Forecast</t>
  </si>
  <si>
    <t>Above</t>
  </si>
  <si>
    <t>above</t>
  </si>
  <si>
    <t>Revenue Summary B</t>
  </si>
  <si>
    <t>LGE-Commercial As Available Gas Service CAAGS </t>
  </si>
  <si>
    <t>Customer Revenue:</t>
  </si>
  <si>
    <t xml:space="preserve">     Customer Count Meter&lt;5000 cf/hr</t>
  </si>
  <si>
    <t xml:space="preserve">     Customer Count Meter&gt;5000 cf/hr</t>
  </si>
  <si>
    <t xml:space="preserve">     Total Customer Count</t>
  </si>
  <si>
    <t xml:space="preserve">          Customer Rate Meter&lt;5000 cf/hr</t>
  </si>
  <si>
    <t xml:space="preserve">          Customer Rate Meter&gt;5000 cf/hr</t>
  </si>
  <si>
    <t>Total Customer Revenue</t>
  </si>
  <si>
    <t>Distribution Revenue:</t>
  </si>
  <si>
    <t xml:space="preserve">     Distribution usage&lt;100 Mcf</t>
  </si>
  <si>
    <t xml:space="preserve">     Distribution usage&gt;100 Mcf</t>
  </si>
  <si>
    <t xml:space="preserve">     Total Distribution Usage</t>
  </si>
  <si>
    <t xml:space="preserve">          Distribution rate usage&lt;100 Mcf</t>
  </si>
  <si>
    <t xml:space="preserve">          Total Distribution Rate Usage - &lt;100 Mcf $/Mcf</t>
  </si>
  <si>
    <t xml:space="preserve">          Distribution rate usage&gt;100 Mcf</t>
  </si>
  <si>
    <t>Total Distribution Revenue</t>
  </si>
  <si>
    <t>Admin Revenue:</t>
  </si>
  <si>
    <t>Demand Revenue:</t>
  </si>
  <si>
    <t>Total Gas Base Revenue</t>
  </si>
  <si>
    <t>GSC Revenue:</t>
  </si>
  <si>
    <t xml:space="preserve">     GSC Rate</t>
  </si>
  <si>
    <t xml:space="preserve">     GSC revenue</t>
  </si>
  <si>
    <t>DSM Revenue:</t>
  </si>
  <si>
    <t xml:space="preserve">     DSM $/Mcf</t>
  </si>
  <si>
    <t xml:space="preserve">     DSM Revenue</t>
  </si>
  <si>
    <t>GLT Revenue:</t>
  </si>
  <si>
    <t xml:space="preserve">     GLT Allocator</t>
  </si>
  <si>
    <t xml:space="preserve">     GLT Revenue</t>
  </si>
  <si>
    <t>Total Gas Revenue</t>
  </si>
  <si>
    <t>LGE-Commercial DGGS </t>
  </si>
  <si>
    <t xml:space="preserve">     Contract Demand- Mcf</t>
  </si>
  <si>
    <t xml:space="preserve">     Demand Rate</t>
  </si>
  <si>
    <t>Total Demand Revenue</t>
  </si>
  <si>
    <t>LGE-Commercial Firm Transportation Service CFT </t>
  </si>
  <si>
    <t xml:space="preserve">          Admin Rate</t>
  </si>
  <si>
    <t>Total Admin Revenue</t>
  </si>
  <si>
    <t>LGE-Commercial Gas Transportation Service/Standby CGS-TS </t>
  </si>
  <si>
    <t>LGE-Firm Industrial Gas Service IGS </t>
  </si>
  <si>
    <t>LGE-Industrial As Available Gas Service IAAGS </t>
  </si>
  <si>
    <t>LGE-Industrial Firm Transportation Service IFT </t>
  </si>
  <si>
    <t xml:space="preserve">     Pool Manager's Fee</t>
  </si>
  <si>
    <t>LGE-Industrial Gas Transportation Service/Standby IAAGS-TS </t>
  </si>
  <si>
    <t>LGE-Industrial Gas Transportation Service/Standby IGS-TS </t>
  </si>
  <si>
    <t>LGE-Public Authority As Available Gas Service PAAAGS </t>
  </si>
  <si>
    <t>LGE-Public Authority Commercial Gas Service PACGS </t>
  </si>
  <si>
    <t>LGE-Public Authority Firm Transportation Service PAFT </t>
  </si>
  <si>
    <t>LGE-Public Authority Industrial Gas Service PAIGS </t>
  </si>
  <si>
    <t>LGE-Residential Gas Service </t>
  </si>
  <si>
    <t>LGE-Firm Commercial Gas Service CGS </t>
  </si>
  <si>
    <t>w/o Pooling Service</t>
  </si>
  <si>
    <t>LGE-Firm Public Authority Gas Service PACGS </t>
  </si>
  <si>
    <t>FOR LONNIES TESTIMONY</t>
  </si>
  <si>
    <t>Winter Volumes</t>
  </si>
  <si>
    <t>TOTAL FORECASTED SALES  (Mcf)</t>
  </si>
  <si>
    <t>Historical storage volumes</t>
  </si>
  <si>
    <t>(12-month ended 8-31-16)</t>
  </si>
  <si>
    <t>w/o MC</t>
  </si>
  <si>
    <t>Transport Volumes (no MC)</t>
  </si>
  <si>
    <t>Proposed Increase in Revenue</t>
  </si>
  <si>
    <t>Rider PS-FT</t>
  </si>
  <si>
    <t xml:space="preserve">Rider PS-TS-2 </t>
  </si>
  <si>
    <t>SUBTOTAL</t>
  </si>
  <si>
    <t>Other Operating Revenues:</t>
  </si>
  <si>
    <t>Forfeited Discounts</t>
  </si>
  <si>
    <t>Rent from Gas Property</t>
  </si>
  <si>
    <t>KY Aug 2016 Forecast (2017 BP-Prelim View)-No RC</t>
  </si>
  <si>
    <t>(pulls from 12-MO Forecast Summary)</t>
  </si>
  <si>
    <t xml:space="preserve">Gas Transporation Service Rider TS-2 to Rate AAGS </t>
  </si>
  <si>
    <t>CASE NO. 2016-00371</t>
  </si>
  <si>
    <r>
      <t>RATE AAGS:</t>
    </r>
    <r>
      <rPr>
        <sz val="12"/>
        <rFont val="Times New Roman"/>
        <family val="1"/>
      </rPr>
      <t xml:space="preserve">  </t>
    </r>
  </si>
  <si>
    <t>Gas Transporation Service Rider TS-2 to Rate IGS</t>
  </si>
  <si>
    <t>Gas Transporation Service Rider TS-2 to Rate CGS</t>
  </si>
  <si>
    <t>Correction Factor</t>
  </si>
  <si>
    <t>Subtotal after application of Correction Factor</t>
  </si>
  <si>
    <t>Substitute Gas Sales Service</t>
  </si>
  <si>
    <t>SGSS</t>
  </si>
  <si>
    <t xml:space="preserve">     Total SGSS</t>
  </si>
  <si>
    <t>Pages 2 thru 8</t>
  </si>
  <si>
    <t>Substitute Gas Sales Service (SGSS)</t>
  </si>
  <si>
    <t xml:space="preserve"> Substitute Gas Sales Service (SGSS)</t>
  </si>
  <si>
    <t>PAGE 1 OF 9</t>
  </si>
  <si>
    <t>Page 2 of 9</t>
  </si>
  <si>
    <t>Page 3 of 9</t>
  </si>
  <si>
    <t>Page 4 of 9</t>
  </si>
  <si>
    <t>Page 5 of 9</t>
  </si>
  <si>
    <t>Page 6 of 9</t>
  </si>
  <si>
    <t>Page 7 of 9</t>
  </si>
  <si>
    <t>Page 8 of 9</t>
  </si>
  <si>
    <t>Page 9 of 9</t>
  </si>
  <si>
    <t>FORECAST PERIOD REVENUES AT CURRENT AND PROPOSED GAS RATES</t>
  </si>
  <si>
    <t>AVERAGE BILL COMPARISON AT CURRENT AND PROPOSED GAS RATES</t>
  </si>
  <si>
    <t>SUMMARY OF PROPOSED GAS REVENUE INCREASE</t>
  </si>
  <si>
    <t>CALCULATION OF PROPOSED GAS RATE INCREASE</t>
  </si>
  <si>
    <t>Customers for the 12-Month Period  (Customer on New Proposed Rate SGSS has been removed)</t>
  </si>
  <si>
    <t>RATE SGSS - NEW PROPOSED RATE</t>
  </si>
  <si>
    <t>(Currently has one former CGS customer)</t>
  </si>
  <si>
    <t>Ccf</t>
  </si>
  <si>
    <t>6-Month Total</t>
  </si>
  <si>
    <t>RGS/VFD</t>
  </si>
  <si>
    <t>CGS/SGSS</t>
  </si>
  <si>
    <t># Bills</t>
  </si>
  <si>
    <t>IGS TS-2</t>
  </si>
  <si>
    <t>Total for "IGS"</t>
  </si>
  <si>
    <t>REVENUE SUMMARY FOR THE FORECASTED PERIOD</t>
  </si>
  <si>
    <t>PG 1</t>
  </si>
  <si>
    <t>PGS 2-9</t>
  </si>
  <si>
    <t>LG&amp;E Special Contract - Sales</t>
  </si>
  <si>
    <t>LG&amp;E Special Contract Transportation</t>
  </si>
  <si>
    <t xml:space="preserve">Intra-Company </t>
  </si>
  <si>
    <t>Special Contract(Rate FT)</t>
  </si>
  <si>
    <t>SP LGE</t>
  </si>
  <si>
    <t>MC</t>
  </si>
  <si>
    <t>Gas Transport Service</t>
  </si>
  <si>
    <t xml:space="preserve">Firm Sales </t>
  </si>
  <si>
    <t>Firm-FT -</t>
  </si>
  <si>
    <t>Total SP Transportation (includes PR)</t>
  </si>
  <si>
    <t xml:space="preserve">Firm-FT </t>
  </si>
  <si>
    <t>Firm Sales</t>
  </si>
  <si>
    <t xml:space="preserve">LGE-Firm Sales </t>
  </si>
  <si>
    <t xml:space="preserve">LGE-Firm-FT </t>
  </si>
  <si>
    <t>SPC-P</t>
  </si>
  <si>
    <t>SPC</t>
  </si>
  <si>
    <t>Gas Transport Service,</t>
  </si>
  <si>
    <t>PR</t>
  </si>
  <si>
    <t>As-Filed CGS</t>
  </si>
  <si>
    <t>Settlement CGS</t>
  </si>
  <si>
    <t>As-Proposed</t>
  </si>
  <si>
    <t>As-Settled</t>
  </si>
  <si>
    <t>Stipulated</t>
  </si>
  <si>
    <t>Stipulated Revenue Increase</t>
  </si>
  <si>
    <t>Annual Revenue at Stipulated Rates</t>
  </si>
  <si>
    <t>Average Bill at Stipulated Rates</t>
  </si>
  <si>
    <t>Stipulated Rates</t>
  </si>
  <si>
    <t>EXHIBIT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</si>
</sst>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\-#,##0;#,##0;@"/>
    <numFmt numFmtId="166" formatCode="_(&quot;$&quot;* #,##0_);_(&quot;$&quot;* \(#,##0\);_(&quot;$&quot;* &quot;-&quot;??_);_(@_)"/>
    <numFmt numFmtId="167" formatCode="[$-409]mmm\-yy;@"/>
    <numFmt numFmtId="168" formatCode="0.00000"/>
    <numFmt numFmtId="169" formatCode="_(&quot;$&quot;* #,##0.00000_);_(&quot;$&quot;* \(#,##0.00000\);_(&quot;$&quot;* &quot;-&quot;??_);_(@_)"/>
    <numFmt numFmtId="170" formatCode="_(* #,##0.000000_);_(* \(#,##0.000000\);_(* &quot;-&quot;??_);_(@_)"/>
    <numFmt numFmtId="171" formatCode="mmm\-yyyy"/>
    <numFmt numFmtId="172" formatCode="0.000%"/>
    <numFmt numFmtId="173" formatCode="[$-409]mmmm\-yy;@"/>
    <numFmt numFmtId="174" formatCode="_(* #,##0.0_);_(* \(#,##0.0\);_(* &quot;-&quot;??_);_(@_)"/>
    <numFmt numFmtId="175" formatCode="General_)"/>
    <numFmt numFmtId="176" formatCode="#,##0.0_);\(#,##0.0\)"/>
    <numFmt numFmtId="177" formatCode="&quot;$&quot;#,##0.0000_);[Red]\(&quot;$&quot;#,##0.0000\)"/>
    <numFmt numFmtId="178" formatCode="_(&quot;$&quot;* #,##0.0000_);_(&quot;$&quot;* \(#,##0.0000\);_(&quot;$&quot;* &quot;-&quot;??_);_(@_)"/>
    <numFmt numFmtId="179" formatCode="_(* #,##0.0000_);_(* \(#,##0.0000\);_(* &quot;-&quot;??_);_(@_)"/>
    <numFmt numFmtId="180" formatCode="&quot;$&quot;#,##0\ ;\(&quot;$&quot;#,##0\)"/>
    <numFmt numFmtId="181" formatCode="_([$€-2]* #,##0.00_);_([$€-2]* \(#,##0.00\);_([$€-2]* &quot;-&quot;??_)"/>
    <numFmt numFmtId="182" formatCode="0_);\(0\)"/>
    <numFmt numFmtId="183" formatCode="_(&quot;$&quot;* #,##0.000_);_(&quot;$&quot;* \(#,##0.000\);_(&quot;$&quot;* &quot;-&quot;?????_);_(@_)"/>
    <numFmt numFmtId="184" formatCode="&quot;$&quot;#,##0.00000_);[Red]\(&quot;$&quot;#,##0.00000\)"/>
    <numFmt numFmtId="185" formatCode="#,##0_);[Red]\(#,##0\);&quot; &quot;"/>
    <numFmt numFmtId="186" formatCode="#,##0.00000_);[Red]\(#,##0.00000\);&quot; &quot;"/>
    <numFmt numFmtId="187" formatCode="#,##0.00_);[Red]\(#,##0.00\);&quot; &quot;"/>
    <numFmt numFmtId="188" formatCode="0.000000"/>
    <numFmt numFmtId="189" formatCode="_(* #,##0.000_);_(* \(#,##0.000\);_(* &quot;-&quot;??_);_(@_)"/>
  </numFmts>
  <fonts count="8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10"/>
      <name val="Courier"/>
      <family val="3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0"/>
      <name val="MS Sans Serif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11"/>
      <color indexed="10"/>
      <name val="Calibri"/>
      <family val="2"/>
    </font>
    <font>
      <sz val="11"/>
      <color rgb="FFFF0000"/>
      <name val="Times New Roman"/>
      <family val="2"/>
    </font>
    <font>
      <sz val="11"/>
      <color theme="1"/>
      <name val="Times New Roman"/>
      <family val="1"/>
    </font>
    <font>
      <sz val="10"/>
      <color indexed="8"/>
      <name val="Calibri"/>
      <family val="2"/>
      <scheme val="minor"/>
    </font>
    <font>
      <b/>
      <sz val="10"/>
      <color indexed="1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indexed="10"/>
      <name val="Arial Narrow"/>
      <family val="2"/>
    </font>
    <font>
      <b/>
      <u/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u val="doubleAccounting"/>
      <sz val="12"/>
      <color theme="1"/>
      <name val="Times New Roman"/>
      <family val="1"/>
    </font>
    <font>
      <u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theme="3" tint="0.39997558519241921"/>
      </right>
      <top style="thin">
        <color indexed="64"/>
      </top>
      <bottom/>
      <diagonal/>
    </border>
    <border>
      <left/>
      <right style="thin">
        <color theme="3" tint="0.399975585192419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849">
    <xf numFmtId="0" fontId="0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13" fillId="0" borderId="0"/>
    <xf numFmtId="0" fontId="3" fillId="0" borderId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167" fontId="21" fillId="24" borderId="0" applyNumberFormat="0" applyBorder="0" applyAlignment="0" applyProtection="0"/>
    <xf numFmtId="167" fontId="21" fillId="24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173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167" fontId="21" fillId="28" borderId="0" applyNumberFormat="0" applyBorder="0" applyAlignment="0" applyProtection="0"/>
    <xf numFmtId="167" fontId="21" fillId="2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173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167" fontId="21" fillId="32" borderId="0" applyNumberFormat="0" applyBorder="0" applyAlignment="0" applyProtection="0"/>
    <xf numFmtId="167" fontId="21" fillId="32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173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7" fontId="21" fillId="36" borderId="0" applyNumberFormat="0" applyBorder="0" applyAlignment="0" applyProtection="0"/>
    <xf numFmtId="167" fontId="21" fillId="36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167" fontId="21" fillId="40" borderId="0" applyNumberFormat="0" applyBorder="0" applyAlignment="0" applyProtection="0"/>
    <xf numFmtId="167" fontId="21" fillId="40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173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167" fontId="21" fillId="44" borderId="0" applyNumberFormat="0" applyBorder="0" applyAlignment="0" applyProtection="0"/>
    <xf numFmtId="167" fontId="21" fillId="44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173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167" fontId="21" fillId="25" borderId="0" applyNumberFormat="0" applyBorder="0" applyAlignment="0" applyProtection="0"/>
    <xf numFmtId="167" fontId="21" fillId="25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167" fontId="21" fillId="29" borderId="0" applyNumberFormat="0" applyBorder="0" applyAlignment="0" applyProtection="0"/>
    <xf numFmtId="167" fontId="21" fillId="29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173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167" fontId="21" fillId="33" borderId="0" applyNumberFormat="0" applyBorder="0" applyAlignment="0" applyProtection="0"/>
    <xf numFmtId="167" fontId="21" fillId="33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173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167" fontId="21" fillId="37" borderId="0" applyNumberFormat="0" applyBorder="0" applyAlignment="0" applyProtection="0"/>
    <xf numFmtId="167" fontId="21" fillId="37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173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167" fontId="21" fillId="41" borderId="0" applyNumberFormat="0" applyBorder="0" applyAlignment="0" applyProtection="0"/>
    <xf numFmtId="167" fontId="21" fillId="41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173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0" fillId="56" borderId="0" applyNumberFormat="0" applyBorder="0" applyAlignment="0" applyProtection="0"/>
    <xf numFmtId="167" fontId="21" fillId="45" borderId="0" applyNumberFormat="0" applyBorder="0" applyAlignment="0" applyProtection="0"/>
    <xf numFmtId="167" fontId="21" fillId="45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173" fontId="20" fillId="56" borderId="0" applyNumberFormat="0" applyBorder="0" applyAlignment="0" applyProtection="0"/>
    <xf numFmtId="0" fontId="20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167" fontId="23" fillId="26" borderId="0" applyNumberFormat="0" applyBorder="0" applyAlignment="0" applyProtection="0"/>
    <xf numFmtId="167" fontId="23" fillId="26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173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167" fontId="23" fillId="30" borderId="0" applyNumberFormat="0" applyBorder="0" applyAlignment="0" applyProtection="0"/>
    <xf numFmtId="167" fontId="23" fillId="30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173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167" fontId="23" fillId="34" borderId="0" applyNumberFormat="0" applyBorder="0" applyAlignment="0" applyProtection="0"/>
    <xf numFmtId="167" fontId="23" fillId="34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173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7" fontId="23" fillId="38" borderId="0" applyNumberFormat="0" applyBorder="0" applyAlignment="0" applyProtection="0"/>
    <xf numFmtId="167" fontId="23" fillId="3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67" fontId="23" fillId="42" borderId="0" applyNumberFormat="0" applyBorder="0" applyAlignment="0" applyProtection="0"/>
    <xf numFmtId="167" fontId="23" fillId="42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67" fontId="23" fillId="46" borderId="0" applyNumberFormat="0" applyBorder="0" applyAlignment="0" applyProtection="0"/>
    <xf numFmtId="167" fontId="23" fillId="46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173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67" fontId="23" fillId="23" borderId="0" applyNumberFormat="0" applyBorder="0" applyAlignment="0" applyProtection="0"/>
    <xf numFmtId="167" fontId="23" fillId="23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173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2" borderId="0" applyNumberFormat="0" applyBorder="0" applyAlignment="0" applyProtection="0"/>
    <xf numFmtId="167" fontId="23" fillId="27" borderId="0" applyNumberFormat="0" applyBorder="0" applyAlignment="0" applyProtection="0"/>
    <xf numFmtId="167" fontId="23" fillId="27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173" fontId="22" fillId="62" borderId="0" applyNumberFormat="0" applyBorder="0" applyAlignment="0" applyProtection="0"/>
    <xf numFmtId="0" fontId="22" fillId="62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63" borderId="0" applyNumberFormat="0" applyBorder="0" applyAlignment="0" applyProtection="0"/>
    <xf numFmtId="167" fontId="23" fillId="31" borderId="0" applyNumberFormat="0" applyBorder="0" applyAlignment="0" applyProtection="0"/>
    <xf numFmtId="167" fontId="23" fillId="31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173" fontId="22" fillId="63" borderId="0" applyNumberFormat="0" applyBorder="0" applyAlignment="0" applyProtection="0"/>
    <xf numFmtId="0" fontId="22" fillId="63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67" fontId="23" fillId="35" borderId="0" applyNumberFormat="0" applyBorder="0" applyAlignment="0" applyProtection="0"/>
    <xf numFmtId="167" fontId="23" fillId="35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173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67" fontId="23" fillId="39" borderId="0" applyNumberFormat="0" applyBorder="0" applyAlignment="0" applyProtection="0"/>
    <xf numFmtId="167" fontId="23" fillId="3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173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2" fillId="64" borderId="0" applyNumberFormat="0" applyBorder="0" applyAlignment="0" applyProtection="0"/>
    <xf numFmtId="167" fontId="23" fillId="43" borderId="0" applyNumberFormat="0" applyBorder="0" applyAlignment="0" applyProtection="0"/>
    <xf numFmtId="167" fontId="23" fillId="43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173" fontId="22" fillId="64" borderId="0" applyNumberFormat="0" applyBorder="0" applyAlignment="0" applyProtection="0"/>
    <xf numFmtId="0" fontId="22" fillId="64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167" fontId="25" fillId="17" borderId="0" applyNumberFormat="0" applyBorder="0" applyAlignment="0" applyProtection="0"/>
    <xf numFmtId="167" fontId="25" fillId="17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173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0" fontId="26" fillId="65" borderId="30" applyNumberFormat="0" applyAlignment="0" applyProtection="0"/>
    <xf numFmtId="167" fontId="27" fillId="20" borderId="22" applyNumberFormat="0" applyAlignment="0" applyProtection="0"/>
    <xf numFmtId="167" fontId="27" fillId="20" borderId="22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173" fontId="26" fillId="65" borderId="30" applyNumberFormat="0" applyAlignment="0" applyProtection="0"/>
    <xf numFmtId="0" fontId="26" fillId="65" borderId="30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0" fontId="28" fillId="66" borderId="31" applyNumberFormat="0" applyAlignment="0" applyProtection="0"/>
    <xf numFmtId="167" fontId="29" fillId="21" borderId="25" applyNumberFormat="0" applyAlignment="0" applyProtection="0"/>
    <xf numFmtId="167" fontId="29" fillId="21" borderId="25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173" fontId="28" fillId="66" borderId="31" applyNumberFormat="0" applyAlignment="0" applyProtection="0"/>
    <xf numFmtId="0" fontId="28" fillId="66" borderId="3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173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7" fontId="1" fillId="0" borderId="0" applyProtection="0"/>
    <xf numFmtId="167" fontId="1" fillId="0" borderId="0" applyProtection="0"/>
    <xf numFmtId="0" fontId="1" fillId="0" borderId="0" applyProtection="0"/>
    <xf numFmtId="173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0" fontId="10" fillId="0" borderId="0" applyProtection="0"/>
    <xf numFmtId="167" fontId="10" fillId="0" borderId="0" applyProtection="0"/>
    <xf numFmtId="167" fontId="10" fillId="0" borderId="0" applyProtection="0"/>
    <xf numFmtId="0" fontId="10" fillId="0" borderId="0" applyProtection="0"/>
    <xf numFmtId="173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167" fontId="14" fillId="0" borderId="0" applyProtection="0"/>
    <xf numFmtId="167" fontId="14" fillId="0" borderId="0" applyProtection="0"/>
    <xf numFmtId="0" fontId="14" fillId="0" borderId="0" applyProtection="0"/>
    <xf numFmtId="173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7" fontId="2" fillId="0" borderId="0" applyProtection="0"/>
    <xf numFmtId="167" fontId="2" fillId="0" borderId="0" applyProtection="0"/>
    <xf numFmtId="0" fontId="2" fillId="0" borderId="0" applyProtection="0"/>
    <xf numFmtId="173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7" fontId="3" fillId="0" borderId="0" applyProtection="0"/>
    <xf numFmtId="167" fontId="3" fillId="0" borderId="0" applyProtection="0"/>
    <xf numFmtId="0" fontId="3" fillId="0" borderId="0" applyProtection="0"/>
    <xf numFmtId="173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167" fontId="1" fillId="0" borderId="0" applyProtection="0"/>
    <xf numFmtId="167" fontId="1" fillId="0" borderId="0" applyProtection="0"/>
    <xf numFmtId="0" fontId="1" fillId="0" borderId="0" applyProtection="0"/>
    <xf numFmtId="173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7" fontId="32" fillId="0" borderId="0" applyProtection="0"/>
    <xf numFmtId="167" fontId="32" fillId="0" borderId="0" applyProtection="0"/>
    <xf numFmtId="0" fontId="32" fillId="0" borderId="0" applyProtection="0"/>
    <xf numFmtId="2" fontId="3" fillId="0" borderId="0" applyFont="0" applyFill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67" fontId="34" fillId="16" borderId="0" applyNumberFormat="0" applyBorder="0" applyAlignment="0" applyProtection="0"/>
    <xf numFmtId="167" fontId="34" fillId="16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17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167" fontId="36" fillId="0" borderId="19" applyNumberFormat="0" applyFill="0" applyAlignment="0" applyProtection="0"/>
    <xf numFmtId="167" fontId="36" fillId="0" borderId="19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173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7" fillId="0" borderId="33" applyNumberFormat="0" applyFill="0" applyAlignment="0" applyProtection="0"/>
    <xf numFmtId="167" fontId="38" fillId="0" borderId="20" applyNumberFormat="0" applyFill="0" applyAlignment="0" applyProtection="0"/>
    <xf numFmtId="167" fontId="38" fillId="0" borderId="20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173" fontId="37" fillId="0" borderId="33" applyNumberFormat="0" applyFill="0" applyAlignment="0" applyProtection="0"/>
    <xf numFmtId="0" fontId="37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167" fontId="40" fillId="0" borderId="21" applyNumberFormat="0" applyFill="0" applyAlignment="0" applyProtection="0"/>
    <xf numFmtId="167" fontId="40" fillId="0" borderId="21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173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173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0" fontId="41" fillId="52" borderId="30" applyNumberFormat="0" applyAlignment="0" applyProtection="0"/>
    <xf numFmtId="167" fontId="42" fillId="19" borderId="22" applyNumberFormat="0" applyAlignment="0" applyProtection="0"/>
    <xf numFmtId="167" fontId="42" fillId="19" borderId="22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173" fontId="41" fillId="52" borderId="30" applyNumberFormat="0" applyAlignment="0" applyProtection="0"/>
    <xf numFmtId="0" fontId="41" fillId="52" borderId="30" applyNumberFormat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3" fillId="0" borderId="35" applyNumberFormat="0" applyFill="0" applyAlignment="0" applyProtection="0"/>
    <xf numFmtId="167" fontId="44" fillId="0" borderId="24" applyNumberFormat="0" applyFill="0" applyAlignment="0" applyProtection="0"/>
    <xf numFmtId="167" fontId="44" fillId="0" borderId="24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173" fontId="43" fillId="0" borderId="35" applyNumberFormat="0" applyFill="0" applyAlignment="0" applyProtection="0"/>
    <xf numFmtId="0" fontId="43" fillId="0" borderId="35" applyNumberFormat="0" applyFill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167" fontId="46" fillId="18" borderId="0" applyNumberFormat="0" applyBorder="0" applyAlignment="0" applyProtection="0"/>
    <xf numFmtId="167" fontId="46" fillId="18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173" fontId="45" fillId="67" borderId="0" applyNumberFormat="0" applyBorder="0" applyAlignment="0" applyProtection="0"/>
    <xf numFmtId="0" fontId="45" fillId="67" borderId="0" applyNumberFormat="0" applyBorder="0" applyAlignment="0" applyProtection="0"/>
    <xf numFmtId="173" fontId="3" fillId="0" borderId="0"/>
    <xf numFmtId="173" fontId="3" fillId="0" borderId="0"/>
    <xf numFmtId="17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67" fontId="3" fillId="0" borderId="0"/>
    <xf numFmtId="167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41" fontId="18" fillId="0" borderId="0"/>
    <xf numFmtId="41" fontId="18" fillId="0" borderId="0"/>
    <xf numFmtId="41" fontId="18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67" fontId="21" fillId="0" borderId="0"/>
    <xf numFmtId="167" fontId="21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73" fontId="47" fillId="0" borderId="0"/>
    <xf numFmtId="167" fontId="21" fillId="0" borderId="0"/>
    <xf numFmtId="167" fontId="21" fillId="0" borderId="0"/>
    <xf numFmtId="0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173" fontId="3" fillId="0" borderId="0"/>
    <xf numFmtId="167" fontId="21" fillId="0" borderId="0"/>
    <xf numFmtId="167" fontId="21" fillId="0" borderId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0" fontId="48" fillId="68" borderId="3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173" fontId="48" fillId="68" borderId="36" applyNumberFormat="0" applyFont="0" applyAlignment="0" applyProtection="0"/>
    <xf numFmtId="167" fontId="48" fillId="22" borderId="26" applyNumberFormat="0" applyFont="0" applyAlignment="0" applyProtection="0"/>
    <xf numFmtId="167" fontId="48" fillId="22" borderId="26" applyNumberFormat="0" applyFont="0" applyAlignment="0" applyProtection="0"/>
    <xf numFmtId="0" fontId="48" fillId="68" borderId="36" applyNumberFormat="0" applyFon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0" fontId="49" fillId="65" borderId="37" applyNumberFormat="0" applyAlignment="0" applyProtection="0"/>
    <xf numFmtId="167" fontId="50" fillId="20" borderId="23" applyNumberFormat="0" applyAlignment="0" applyProtection="0"/>
    <xf numFmtId="167" fontId="50" fillId="20" borderId="23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173" fontId="49" fillId="65" borderId="37" applyNumberFormat="0" applyAlignment="0" applyProtection="0"/>
    <xf numFmtId="0" fontId="49" fillId="65" borderId="37" applyNumberFormat="0" applyAlignment="0" applyProtection="0"/>
    <xf numFmtId="4" fontId="15" fillId="2" borderId="0">
      <alignment horizontal="right"/>
    </xf>
    <xf numFmtId="173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0" fontId="51" fillId="2" borderId="0">
      <alignment horizontal="center" vertical="center"/>
    </xf>
    <xf numFmtId="167" fontId="51" fillId="2" borderId="0">
      <alignment horizontal="center" vertical="center"/>
    </xf>
    <xf numFmtId="167" fontId="51" fillId="2" borderId="0">
      <alignment horizontal="center" vertical="center"/>
    </xf>
    <xf numFmtId="0" fontId="51" fillId="2" borderId="0">
      <alignment horizontal="center" vertical="center"/>
    </xf>
    <xf numFmtId="173" fontId="12" fillId="2" borderId="13"/>
    <xf numFmtId="0" fontId="12" fillId="2" borderId="13"/>
    <xf numFmtId="0" fontId="12" fillId="2" borderId="13"/>
    <xf numFmtId="0" fontId="12" fillId="2" borderId="13"/>
    <xf numFmtId="0" fontId="12" fillId="2" borderId="13"/>
    <xf numFmtId="0" fontId="12" fillId="2" borderId="13"/>
    <xf numFmtId="0" fontId="12" fillId="2" borderId="13"/>
    <xf numFmtId="167" fontId="12" fillId="2" borderId="13"/>
    <xf numFmtId="167" fontId="12" fillId="2" borderId="13"/>
    <xf numFmtId="0" fontId="12" fillId="2" borderId="13"/>
    <xf numFmtId="173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0" fontId="51" fillId="2" borderId="0" applyBorder="0">
      <alignment horizontal="centerContinuous"/>
    </xf>
    <xf numFmtId="167" fontId="51" fillId="2" borderId="0" applyBorder="0">
      <alignment horizontal="centerContinuous"/>
    </xf>
    <xf numFmtId="167" fontId="51" fillId="2" borderId="0" applyBorder="0">
      <alignment horizontal="centerContinuous"/>
    </xf>
    <xf numFmtId="0" fontId="51" fillId="2" borderId="0" applyBorder="0">
      <alignment horizontal="centerContinuous"/>
    </xf>
    <xf numFmtId="173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0" fontId="52" fillId="2" borderId="0" applyBorder="0">
      <alignment horizontal="centerContinuous"/>
    </xf>
    <xf numFmtId="167" fontId="52" fillId="2" borderId="0" applyBorder="0">
      <alignment horizontal="centerContinuous"/>
    </xf>
    <xf numFmtId="167" fontId="52" fillId="2" borderId="0" applyBorder="0">
      <alignment horizontal="centerContinuous"/>
    </xf>
    <xf numFmtId="0" fontId="52" fillId="2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173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4" fillId="0" borderId="38" applyNumberFormat="0" applyFill="0" applyAlignment="0" applyProtection="0"/>
    <xf numFmtId="167" fontId="55" fillId="0" borderId="27" applyNumberFormat="0" applyFill="0" applyAlignment="0" applyProtection="0"/>
    <xf numFmtId="167" fontId="55" fillId="0" borderId="27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173" fontId="54" fillId="0" borderId="38" applyNumberFormat="0" applyFill="0" applyAlignment="0" applyProtection="0"/>
    <xf numFmtId="0" fontId="54" fillId="0" borderId="3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173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44" fontId="20" fillId="0" borderId="0" applyFont="0" applyFill="0" applyBorder="0" applyAlignment="0" applyProtection="0"/>
    <xf numFmtId="173" fontId="3" fillId="0" borderId="0"/>
    <xf numFmtId="41" fontId="18" fillId="0" borderId="0"/>
  </cellStyleXfs>
  <cellXfs count="835">
    <xf numFmtId="0" fontId="0" fillId="0" borderId="0" xfId="0"/>
    <xf numFmtId="0" fontId="5" fillId="0" borderId="0" xfId="2"/>
    <xf numFmtId="0" fontId="5" fillId="0" borderId="0" xfId="2" applyAlignment="1">
      <alignment horizontal="center" wrapTex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38" fontId="7" fillId="8" borderId="0" xfId="0" applyNumberFormat="1" applyFont="1" applyFill="1" applyAlignment="1">
      <alignment horizontal="center"/>
    </xf>
    <xf numFmtId="41" fontId="7" fillId="8" borderId="0" xfId="0" applyNumberFormat="1" applyFont="1" applyFill="1" applyAlignment="1">
      <alignment horizontal="center"/>
    </xf>
    <xf numFmtId="38" fontId="7" fillId="8" borderId="0" xfId="0" applyNumberFormat="1" applyFont="1" applyFill="1" applyAlignment="1">
      <alignment horizontal="center" wrapText="1"/>
    </xf>
    <xf numFmtId="41" fontId="7" fillId="8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/>
    <xf numFmtId="167" fontId="6" fillId="8" borderId="0" xfId="0" applyNumberFormat="1" applyFont="1" applyFill="1"/>
    <xf numFmtId="41" fontId="7" fillId="9" borderId="0" xfId="0" quotePrefix="1" applyNumberFormat="1" applyFont="1" applyFill="1" applyBorder="1" applyAlignment="1">
      <alignment horizontal="center" wrapText="1"/>
    </xf>
    <xf numFmtId="41" fontId="7" fillId="9" borderId="0" xfId="0" applyNumberFormat="1" applyFont="1" applyFill="1" applyBorder="1" applyAlignment="1">
      <alignment horizontal="center" wrapText="1"/>
    </xf>
    <xf numFmtId="0" fontId="6" fillId="9" borderId="0" xfId="0" applyFont="1" applyFill="1"/>
    <xf numFmtId="41" fontId="8" fillId="9" borderId="0" xfId="0" quotePrefix="1" applyNumberFormat="1" applyFont="1" applyFill="1" applyAlignment="1">
      <alignment horizontal="left"/>
    </xf>
    <xf numFmtId="41" fontId="7" fillId="9" borderId="0" xfId="0" applyNumberFormat="1" applyFont="1" applyFill="1"/>
    <xf numFmtId="0" fontId="6" fillId="10" borderId="0" xfId="0" applyFont="1" applyFill="1"/>
    <xf numFmtId="41" fontId="8" fillId="10" borderId="0" xfId="0" quotePrefix="1" applyNumberFormat="1" applyFont="1" applyFill="1" applyAlignment="1">
      <alignment horizontal="left"/>
    </xf>
    <xf numFmtId="41" fontId="7" fillId="10" borderId="0" xfId="0" applyNumberFormat="1" applyFont="1" applyFill="1"/>
    <xf numFmtId="41" fontId="7" fillId="10" borderId="0" xfId="0" applyNumberFormat="1" applyFont="1" applyFill="1" applyBorder="1" applyAlignment="1">
      <alignment horizontal="center" wrapText="1"/>
    </xf>
    <xf numFmtId="41" fontId="7" fillId="10" borderId="0" xfId="0" quotePrefix="1" applyNumberFormat="1" applyFont="1" applyFill="1" applyBorder="1" applyAlignment="1">
      <alignment horizontal="center" wrapText="1"/>
    </xf>
    <xf numFmtId="164" fontId="6" fillId="9" borderId="0" xfId="3" applyNumberFormat="1" applyFont="1" applyFill="1"/>
    <xf numFmtId="44" fontId="6" fillId="10" borderId="0" xfId="4" applyFont="1" applyFill="1"/>
    <xf numFmtId="169" fontId="6" fillId="10" borderId="0" xfId="4" applyNumberFormat="1" applyFont="1" applyFill="1"/>
    <xf numFmtId="44" fontId="6" fillId="9" borderId="0" xfId="0" applyNumberFormat="1" applyFont="1" applyFill="1"/>
    <xf numFmtId="43" fontId="7" fillId="9" borderId="0" xfId="3" applyFont="1" applyFill="1"/>
    <xf numFmtId="41" fontId="7" fillId="0" borderId="0" xfId="0" applyNumberFormat="1" applyFont="1"/>
    <xf numFmtId="43" fontId="7" fillId="10" borderId="0" xfId="3" applyFont="1" applyFill="1" applyBorder="1" applyAlignment="1">
      <alignment horizontal="center"/>
    </xf>
    <xf numFmtId="43" fontId="7" fillId="10" borderId="0" xfId="3" quotePrefix="1" applyFont="1" applyFill="1" applyBorder="1" applyAlignment="1">
      <alignment horizontal="center" wrapText="1"/>
    </xf>
    <xf numFmtId="43" fontId="7" fillId="10" borderId="0" xfId="3" applyFont="1" applyFill="1" applyBorder="1" applyAlignment="1">
      <alignment horizontal="center" wrapText="1"/>
    </xf>
    <xf numFmtId="43" fontId="7" fillId="0" borderId="0" xfId="3" applyFont="1" applyBorder="1" applyAlignment="1">
      <alignment horizontal="center" wrapText="1"/>
    </xf>
    <xf numFmtId="44" fontId="6" fillId="10" borderId="0" xfId="0" applyNumberFormat="1" applyFont="1" applyFill="1"/>
    <xf numFmtId="170" fontId="0" fillId="7" borderId="0" xfId="9" applyNumberFormat="1" applyFont="1" applyFill="1"/>
    <xf numFmtId="0" fontId="6" fillId="11" borderId="0" xfId="0" applyFont="1" applyFill="1"/>
    <xf numFmtId="41" fontId="7" fillId="11" borderId="0" xfId="0" applyNumberFormat="1" applyFont="1" applyFill="1"/>
    <xf numFmtId="41" fontId="7" fillId="11" borderId="0" xfId="0" applyNumberFormat="1" applyFont="1" applyFill="1" applyBorder="1" applyAlignment="1">
      <alignment horizontal="center" wrapText="1"/>
    </xf>
    <xf numFmtId="44" fontId="6" fillId="11" borderId="0" xfId="0" applyNumberFormat="1" applyFont="1" applyFill="1"/>
    <xf numFmtId="41" fontId="8" fillId="11" borderId="0" xfId="0" applyNumberFormat="1" applyFont="1" applyFill="1"/>
    <xf numFmtId="0" fontId="0" fillId="0" borderId="0" xfId="0" applyBorder="1"/>
    <xf numFmtId="0" fontId="0" fillId="0" borderId="0" xfId="0" applyAlignment="1">
      <alignment horizontal="center"/>
    </xf>
    <xf numFmtId="166" fontId="6" fillId="0" borderId="0" xfId="0" applyNumberFormat="1" applyFont="1"/>
    <xf numFmtId="41" fontId="7" fillId="11" borderId="0" xfId="0" quotePrefix="1" applyNumberFormat="1" applyFont="1" applyFill="1" applyBorder="1" applyAlignment="1">
      <alignment horizontal="center" wrapText="1"/>
    </xf>
    <xf numFmtId="0" fontId="6" fillId="5" borderId="0" xfId="0" applyFont="1" applyFill="1"/>
    <xf numFmtId="0" fontId="6" fillId="9" borderId="0" xfId="0" applyFont="1" applyFill="1" applyAlignment="1">
      <alignment horizontal="center"/>
    </xf>
    <xf numFmtId="41" fontId="6" fillId="11" borderId="0" xfId="0" applyNumberFormat="1" applyFont="1" applyFill="1"/>
    <xf numFmtId="44" fontId="6" fillId="0" borderId="0" xfId="0" applyNumberFormat="1" applyFont="1"/>
    <xf numFmtId="0" fontId="6" fillId="0" borderId="0" xfId="0" applyFont="1" applyAlignment="1">
      <alignment horizontal="center"/>
    </xf>
    <xf numFmtId="165" fontId="6" fillId="0" borderId="0" xfId="0" applyNumberFormat="1" applyFont="1"/>
    <xf numFmtId="164" fontId="6" fillId="0" borderId="0" xfId="0" applyNumberFormat="1" applyFont="1"/>
    <xf numFmtId="166" fontId="6" fillId="9" borderId="0" xfId="0" applyNumberFormat="1" applyFont="1" applyFill="1"/>
    <xf numFmtId="0" fontId="6" fillId="0" borderId="0" xfId="0" quotePrefix="1" applyFont="1" applyAlignment="1">
      <alignment horizontal="fill"/>
    </xf>
    <xf numFmtId="49" fontId="12" fillId="3" borderId="1" xfId="5" applyNumberFormat="1" applyFont="1" applyFill="1" applyBorder="1" applyAlignment="1">
      <alignment horizontal="right" vertical="center"/>
    </xf>
    <xf numFmtId="41" fontId="8" fillId="9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58" fillId="0" borderId="0" xfId="0" applyFont="1" applyFill="1"/>
    <xf numFmtId="0" fontId="0" fillId="0" borderId="0" xfId="0" quotePrefix="1" applyFill="1" applyAlignment="1">
      <alignment horizontal="left"/>
    </xf>
    <xf numFmtId="0" fontId="10" fillId="0" borderId="0" xfId="845" applyFont="1"/>
    <xf numFmtId="174" fontId="60" fillId="0" borderId="0" xfId="1" applyNumberFormat="1" applyFont="1" applyAlignment="1">
      <alignment horizontal="center"/>
    </xf>
    <xf numFmtId="174" fontId="10" fillId="0" borderId="0" xfId="1" applyNumberFormat="1" applyFont="1"/>
    <xf numFmtId="164" fontId="10" fillId="0" borderId="0" xfId="1" applyNumberFormat="1" applyFont="1"/>
    <xf numFmtId="0" fontId="11" fillId="0" borderId="0" xfId="845" applyFont="1" applyBorder="1" applyAlignment="1">
      <alignment horizontal="center"/>
    </xf>
    <xf numFmtId="164" fontId="11" fillId="0" borderId="0" xfId="1" applyNumberFormat="1" applyFont="1" applyBorder="1" applyAlignment="1">
      <alignment horizontal="right"/>
    </xf>
    <xf numFmtId="167" fontId="10" fillId="0" borderId="4" xfId="1" quotePrefix="1" applyNumberFormat="1" applyFont="1" applyBorder="1" applyAlignment="1">
      <alignment horizontal="center"/>
    </xf>
    <xf numFmtId="0" fontId="10" fillId="0" borderId="0" xfId="845" applyFont="1" applyAlignment="1">
      <alignment horizontal="center"/>
    </xf>
    <xf numFmtId="164" fontId="10" fillId="0" borderId="4" xfId="845" applyNumberFormat="1" applyFont="1" applyBorder="1"/>
    <xf numFmtId="166" fontId="10" fillId="0" borderId="4" xfId="6" applyNumberFormat="1" applyFont="1" applyBorder="1"/>
    <xf numFmtId="174" fontId="10" fillId="0" borderId="0" xfId="845" applyNumberFormat="1" applyFont="1"/>
    <xf numFmtId="164" fontId="10" fillId="0" borderId="4" xfId="1" applyNumberFormat="1" applyFont="1" applyBorder="1"/>
    <xf numFmtId="174" fontId="10" fillId="0" borderId="4" xfId="1" applyNumberFormat="1" applyFont="1" applyBorder="1"/>
    <xf numFmtId="0" fontId="11" fillId="0" borderId="0" xfId="845" applyFont="1"/>
    <xf numFmtId="164" fontId="10" fillId="0" borderId="0" xfId="845" applyNumberFormat="1" applyFont="1"/>
    <xf numFmtId="0" fontId="10" fillId="0" borderId="0" xfId="845" applyFont="1" applyFill="1"/>
    <xf numFmtId="164" fontId="10" fillId="0" borderId="0" xfId="1" applyNumberFormat="1" applyFont="1" applyFill="1"/>
    <xf numFmtId="0" fontId="10" fillId="13" borderId="0" xfId="845" applyFont="1" applyFill="1"/>
    <xf numFmtId="164" fontId="10" fillId="13" borderId="0" xfId="845" applyNumberFormat="1" applyFont="1" applyFill="1"/>
    <xf numFmtId="164" fontId="10" fillId="13" borderId="0" xfId="1" applyNumberFormat="1" applyFont="1" applyFill="1"/>
    <xf numFmtId="164" fontId="10" fillId="0" borderId="4" xfId="1" applyNumberFormat="1" applyFont="1" applyFill="1" applyBorder="1"/>
    <xf numFmtId="43" fontId="10" fillId="0" borderId="0" xfId="845" applyNumberFormat="1" applyFont="1"/>
    <xf numFmtId="174" fontId="10" fillId="0" borderId="0" xfId="1" applyNumberFormat="1" applyFont="1" applyBorder="1"/>
    <xf numFmtId="164" fontId="0" fillId="0" borderId="0" xfId="0" applyNumberFormat="1" applyFill="1"/>
    <xf numFmtId="0" fontId="0" fillId="5" borderId="0" xfId="0" applyFill="1"/>
    <xf numFmtId="49" fontId="6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/>
    <xf numFmtId="168" fontId="0" fillId="0" borderId="0" xfId="0" applyNumberFormat="1" applyFill="1" applyBorder="1"/>
    <xf numFmtId="0" fontId="66" fillId="0" borderId="0" xfId="0" applyFo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/>
    <xf numFmtId="0" fontId="63" fillId="0" borderId="0" xfId="845" applyFont="1"/>
    <xf numFmtId="164" fontId="63" fillId="0" borderId="0" xfId="1" applyNumberFormat="1" applyFont="1"/>
    <xf numFmtId="174" fontId="63" fillId="0" borderId="0" xfId="1" applyNumberFormat="1" applyFont="1"/>
    <xf numFmtId="164" fontId="63" fillId="0" borderId="0" xfId="1" applyNumberFormat="1" applyFont="1" applyAlignment="1">
      <alignment horizontal="right"/>
    </xf>
    <xf numFmtId="174" fontId="63" fillId="0" borderId="0" xfId="1" applyNumberFormat="1" applyFont="1" applyAlignment="1">
      <alignment horizontal="right"/>
    </xf>
    <xf numFmtId="164" fontId="63" fillId="0" borderId="0" xfId="1" applyNumberFormat="1" applyFont="1" applyAlignment="1"/>
    <xf numFmtId="164" fontId="65" fillId="0" borderId="0" xfId="1" applyNumberFormat="1" applyFont="1"/>
    <xf numFmtId="174" fontId="70" fillId="0" borderId="0" xfId="1" applyNumberFormat="1" applyFont="1" applyAlignment="1">
      <alignment horizontal="center"/>
    </xf>
    <xf numFmtId="0" fontId="63" fillId="0" borderId="0" xfId="845" applyFont="1" applyBorder="1"/>
    <xf numFmtId="164" fontId="63" fillId="0" borderId="0" xfId="1" applyNumberFormat="1" applyFont="1" applyBorder="1"/>
    <xf numFmtId="174" fontId="63" fillId="0" borderId="0" xfId="1" applyNumberFormat="1" applyFont="1" applyBorder="1"/>
    <xf numFmtId="1" fontId="63" fillId="4" borderId="0" xfId="1" applyNumberFormat="1" applyFont="1" applyFill="1" applyBorder="1" applyAlignment="1">
      <alignment horizontal="center"/>
    </xf>
    <xf numFmtId="43" fontId="63" fillId="15" borderId="0" xfId="1" applyFont="1" applyFill="1" applyBorder="1" applyAlignment="1">
      <alignment horizontal="center"/>
    </xf>
    <xf numFmtId="43" fontId="63" fillId="4" borderId="0" xfId="1" applyFont="1" applyFill="1" applyBorder="1" applyAlignment="1">
      <alignment horizontal="center"/>
    </xf>
    <xf numFmtId="164" fontId="63" fillId="0" borderId="0" xfId="1" applyNumberFormat="1" applyFont="1" applyBorder="1" applyAlignment="1">
      <alignment horizontal="center"/>
    </xf>
    <xf numFmtId="167" fontId="63" fillId="4" borderId="4" xfId="1" quotePrefix="1" applyNumberFormat="1" applyFont="1" applyFill="1" applyBorder="1" applyAlignment="1">
      <alignment horizontal="center"/>
    </xf>
    <xf numFmtId="167" fontId="63" fillId="15" borderId="4" xfId="1" quotePrefix="1" applyNumberFormat="1" applyFont="1" applyFill="1" applyBorder="1" applyAlignment="1">
      <alignment horizontal="center"/>
    </xf>
    <xf numFmtId="164" fontId="63" fillId="0" borderId="4" xfId="1" applyNumberFormat="1" applyFont="1" applyBorder="1" applyAlignment="1">
      <alignment horizontal="right"/>
    </xf>
    <xf numFmtId="174" fontId="63" fillId="0" borderId="4" xfId="1" applyNumberFormat="1" applyFont="1" applyBorder="1" applyAlignment="1">
      <alignment horizontal="right"/>
    </xf>
    <xf numFmtId="164" fontId="63" fillId="0" borderId="0" xfId="1" applyNumberFormat="1" applyFont="1" applyBorder="1" applyAlignment="1">
      <alignment horizontal="right"/>
    </xf>
    <xf numFmtId="164" fontId="63" fillId="4" borderId="0" xfId="1" quotePrefix="1" applyNumberFormat="1" applyFont="1" applyFill="1" applyBorder="1" applyAlignment="1" applyProtection="1">
      <alignment horizontal="right"/>
    </xf>
    <xf numFmtId="164" fontId="63" fillId="4" borderId="0" xfId="1" quotePrefix="1" applyNumberFormat="1" applyFont="1" applyFill="1" applyBorder="1" applyAlignment="1">
      <alignment horizontal="right"/>
    </xf>
    <xf numFmtId="164" fontId="63" fillId="15" borderId="0" xfId="1" quotePrefix="1" applyNumberFormat="1" applyFont="1" applyFill="1" applyBorder="1" applyAlignment="1">
      <alignment horizontal="right"/>
    </xf>
    <xf numFmtId="0" fontId="63" fillId="4" borderId="0" xfId="845" applyFont="1" applyFill="1"/>
    <xf numFmtId="0" fontId="71" fillId="0" borderId="0" xfId="845" applyFont="1"/>
    <xf numFmtId="164" fontId="71" fillId="0" borderId="0" xfId="1" applyNumberFormat="1" applyFont="1"/>
    <xf numFmtId="174" fontId="71" fillId="0" borderId="0" xfId="1" applyNumberFormat="1" applyFont="1"/>
    <xf numFmtId="164" fontId="63" fillId="4" borderId="0" xfId="1" quotePrefix="1" applyNumberFormat="1" applyFont="1" applyFill="1" applyAlignment="1" applyProtection="1">
      <alignment horizontal="right"/>
    </xf>
    <xf numFmtId="164" fontId="63" fillId="4" borderId="0" xfId="1" quotePrefix="1" applyNumberFormat="1" applyFont="1" applyFill="1" applyAlignment="1">
      <alignment horizontal="right"/>
    </xf>
    <xf numFmtId="174" fontId="63" fillId="15" borderId="0" xfId="1" applyNumberFormat="1" applyFont="1" applyFill="1" applyAlignment="1">
      <alignment horizontal="right"/>
    </xf>
    <xf numFmtId="0" fontId="63" fillId="0" borderId="0" xfId="845" applyFont="1" applyAlignment="1"/>
    <xf numFmtId="164" fontId="63" fillId="0" borderId="0" xfId="1" applyNumberFormat="1" applyFont="1" applyAlignment="1" applyProtection="1">
      <alignment horizontal="left"/>
    </xf>
    <xf numFmtId="174" fontId="63" fillId="0" borderId="0" xfId="1" applyNumberFormat="1" applyFont="1" applyAlignment="1" applyProtection="1">
      <alignment horizontal="left"/>
    </xf>
    <xf numFmtId="164" fontId="63" fillId="4" borderId="0" xfId="1" applyNumberFormat="1" applyFont="1" applyFill="1" applyAlignment="1" applyProtection="1">
      <alignment horizontal="left"/>
    </xf>
    <xf numFmtId="174" fontId="63" fillId="15" borderId="0" xfId="1" applyNumberFormat="1" applyFont="1" applyFill="1" applyAlignment="1" applyProtection="1">
      <alignment horizontal="right"/>
    </xf>
    <xf numFmtId="42" fontId="63" fillId="4" borderId="0" xfId="1" applyNumberFormat="1" applyFont="1" applyFill="1" applyAlignment="1" applyProtection="1">
      <alignment horizontal="left"/>
    </xf>
    <xf numFmtId="164" fontId="63" fillId="0" borderId="0" xfId="845" applyNumberFormat="1" applyFont="1"/>
    <xf numFmtId="164" fontId="63" fillId="0" borderId="4" xfId="1" applyNumberFormat="1" applyFont="1" applyBorder="1" applyAlignment="1" applyProtection="1">
      <alignment horizontal="left"/>
    </xf>
    <xf numFmtId="174" fontId="63" fillId="0" borderId="4" xfId="1" applyNumberFormat="1" applyFont="1" applyBorder="1" applyAlignment="1" applyProtection="1">
      <alignment horizontal="left"/>
    </xf>
    <xf numFmtId="164" fontId="63" fillId="0" borderId="0" xfId="1" applyNumberFormat="1" applyFont="1" applyBorder="1" applyAlignment="1" applyProtection="1">
      <alignment horizontal="left"/>
    </xf>
    <xf numFmtId="164" fontId="63" fillId="4" borderId="4" xfId="1" applyNumberFormat="1" applyFont="1" applyFill="1" applyBorder="1" applyAlignment="1" applyProtection="1">
      <alignment horizontal="left"/>
    </xf>
    <xf numFmtId="174" fontId="63" fillId="15" borderId="4" xfId="1" applyNumberFormat="1" applyFont="1" applyFill="1" applyBorder="1" applyAlignment="1" applyProtection="1">
      <alignment horizontal="right"/>
    </xf>
    <xf numFmtId="42" fontId="63" fillId="4" borderId="4" xfId="1" applyNumberFormat="1" applyFont="1" applyFill="1" applyBorder="1" applyAlignment="1" applyProtection="1">
      <alignment horizontal="left"/>
    </xf>
    <xf numFmtId="175" fontId="63" fillId="0" borderId="0" xfId="845" applyNumberFormat="1" applyFont="1" applyAlignment="1" applyProtection="1">
      <alignment horizontal="center"/>
    </xf>
    <xf numFmtId="164" fontId="63" fillId="4" borderId="0" xfId="1" applyNumberFormat="1" applyFont="1" applyFill="1" applyAlignment="1" applyProtection="1">
      <alignment horizontal="center"/>
    </xf>
    <xf numFmtId="42" fontId="63" fillId="4" borderId="0" xfId="1" applyNumberFormat="1" applyFont="1" applyFill="1"/>
    <xf numFmtId="175" fontId="63" fillId="0" borderId="0" xfId="845" applyNumberFormat="1" applyFont="1" applyProtection="1"/>
    <xf numFmtId="164" fontId="63" fillId="0" borderId="0" xfId="1" applyNumberFormat="1" applyFont="1" applyAlignment="1" applyProtection="1">
      <alignment horizontal="center"/>
    </xf>
    <xf numFmtId="174" fontId="63" fillId="0" borderId="0" xfId="1" applyNumberFormat="1" applyFont="1" applyAlignment="1" applyProtection="1">
      <alignment horizontal="center"/>
    </xf>
    <xf numFmtId="175" fontId="63" fillId="4" borderId="0" xfId="845" applyNumberFormat="1" applyFont="1" applyFill="1" applyProtection="1"/>
    <xf numFmtId="164" fontId="63" fillId="15" borderId="0" xfId="1" applyNumberFormat="1" applyFont="1" applyFill="1" applyAlignment="1">
      <alignment horizontal="right"/>
    </xf>
    <xf numFmtId="164" fontId="63" fillId="0" borderId="0" xfId="1" applyNumberFormat="1" applyFont="1" applyProtection="1"/>
    <xf numFmtId="174" fontId="63" fillId="15" borderId="0" xfId="1" applyNumberFormat="1" applyFont="1" applyFill="1" applyBorder="1" applyAlignment="1" applyProtection="1">
      <alignment horizontal="right"/>
    </xf>
    <xf numFmtId="42" fontId="63" fillId="4" borderId="0" xfId="1" applyNumberFormat="1" applyFont="1" applyFill="1" applyBorder="1" applyAlignment="1" applyProtection="1">
      <alignment horizontal="left"/>
    </xf>
    <xf numFmtId="164" fontId="63" fillId="4" borderId="4" xfId="1" applyNumberFormat="1" applyFont="1" applyFill="1" applyBorder="1" applyAlignment="1" applyProtection="1">
      <alignment horizontal="center"/>
    </xf>
    <xf numFmtId="175" fontId="63" fillId="0" borderId="0" xfId="845" applyNumberFormat="1" applyFont="1" applyAlignment="1" applyProtection="1">
      <alignment horizontal="left"/>
    </xf>
    <xf numFmtId="175" fontId="63" fillId="0" borderId="0" xfId="845" quotePrefix="1" applyNumberFormat="1" applyFont="1" applyAlignment="1" applyProtection="1">
      <alignment horizontal="center"/>
    </xf>
    <xf numFmtId="164" fontId="63" fillId="0" borderId="0" xfId="845" applyNumberFormat="1" applyFont="1" applyBorder="1"/>
    <xf numFmtId="0" fontId="72" fillId="0" borderId="0" xfId="845" applyFont="1" applyAlignment="1" applyProtection="1">
      <alignment horizontal="left"/>
      <protection locked="0"/>
    </xf>
    <xf numFmtId="164" fontId="63" fillId="0" borderId="0" xfId="1" applyNumberFormat="1" applyFont="1" applyFill="1" applyAlignment="1" applyProtection="1">
      <alignment horizontal="left"/>
    </xf>
    <xf numFmtId="175" fontId="63" fillId="4" borderId="0" xfId="845" applyNumberFormat="1" applyFont="1" applyFill="1" applyAlignment="1" applyProtection="1">
      <alignment horizontal="left"/>
    </xf>
    <xf numFmtId="164" fontId="63" fillId="15" borderId="0" xfId="1" applyNumberFormat="1" applyFont="1" applyFill="1" applyBorder="1" applyAlignment="1" applyProtection="1">
      <alignment horizontal="right"/>
    </xf>
    <xf numFmtId="166" fontId="63" fillId="4" borderId="0" xfId="1" applyNumberFormat="1" applyFont="1" applyFill="1"/>
    <xf numFmtId="175" fontId="63" fillId="0" borderId="0" xfId="845" applyNumberFormat="1" applyFont="1" applyAlignment="1" applyProtection="1"/>
    <xf numFmtId="164" fontId="63" fillId="4" borderId="0" xfId="1" applyNumberFormat="1" applyFont="1" applyFill="1" applyAlignment="1">
      <alignment horizontal="center"/>
    </xf>
    <xf numFmtId="164" fontId="63" fillId="15" borderId="0" xfId="1" applyNumberFormat="1" applyFont="1" applyFill="1"/>
    <xf numFmtId="166" fontId="63" fillId="4" borderId="0" xfId="846" applyNumberFormat="1" applyFont="1" applyFill="1"/>
    <xf numFmtId="164" fontId="63" fillId="0" borderId="0" xfId="845" applyNumberFormat="1" applyFont="1" applyFill="1"/>
    <xf numFmtId="0" fontId="63" fillId="0" borderId="0" xfId="845" applyFont="1" applyFill="1"/>
    <xf numFmtId="175" fontId="63" fillId="0" borderId="0" xfId="0" applyNumberFormat="1" applyFont="1" applyFill="1" applyAlignment="1" applyProtection="1">
      <alignment horizontal="left"/>
    </xf>
    <xf numFmtId="174" fontId="63" fillId="0" borderId="0" xfId="1" applyNumberFormat="1" applyFont="1" applyFill="1" applyAlignment="1" applyProtection="1">
      <alignment horizontal="left"/>
    </xf>
    <xf numFmtId="0" fontId="72" fillId="0" borderId="0" xfId="845" applyFont="1" applyFill="1" applyAlignment="1" applyProtection="1">
      <alignment horizontal="left"/>
      <protection locked="0"/>
    </xf>
    <xf numFmtId="164" fontId="63" fillId="0" borderId="4" xfId="1" applyNumberFormat="1" applyFont="1" applyFill="1" applyBorder="1" applyAlignment="1" applyProtection="1">
      <alignment horizontal="left"/>
    </xf>
    <xf numFmtId="174" fontId="63" fillId="0" borderId="4" xfId="1" applyNumberFormat="1" applyFont="1" applyFill="1" applyBorder="1" applyAlignment="1" applyProtection="1">
      <alignment horizontal="left"/>
    </xf>
    <xf numFmtId="164" fontId="63" fillId="15" borderId="4" xfId="1" applyNumberFormat="1" applyFont="1" applyFill="1" applyBorder="1" applyAlignment="1">
      <alignment horizontal="right"/>
    </xf>
    <xf numFmtId="166" fontId="63" fillId="4" borderId="4" xfId="1" applyNumberFormat="1" applyFont="1" applyFill="1" applyBorder="1"/>
    <xf numFmtId="175" fontId="63" fillId="0" borderId="0" xfId="845" applyNumberFormat="1" applyFont="1" applyFill="1" applyAlignment="1" applyProtection="1">
      <alignment horizontal="center"/>
    </xf>
    <xf numFmtId="164" fontId="63" fillId="0" borderId="0" xfId="1" applyNumberFormat="1" applyFont="1" applyFill="1" applyAlignment="1" applyProtection="1">
      <alignment horizontal="center"/>
    </xf>
    <xf numFmtId="166" fontId="63" fillId="4" borderId="4" xfId="846" applyNumberFormat="1" applyFont="1" applyFill="1" applyBorder="1"/>
    <xf numFmtId="175" fontId="63" fillId="0" borderId="0" xfId="845" applyNumberFormat="1" applyFont="1" applyFill="1" applyAlignment="1" applyProtection="1"/>
    <xf numFmtId="164" fontId="63" fillId="5" borderId="0" xfId="1" applyNumberFormat="1" applyFont="1" applyFill="1" applyAlignment="1">
      <alignment horizontal="right"/>
    </xf>
    <xf numFmtId="164" fontId="73" fillId="0" borderId="0" xfId="1" applyNumberFormat="1" applyFont="1" applyFill="1" applyAlignment="1">
      <alignment horizontal="right"/>
    </xf>
    <xf numFmtId="174" fontId="63" fillId="0" borderId="0" xfId="1" applyNumberFormat="1" applyFont="1" applyFill="1" applyAlignment="1">
      <alignment horizontal="right"/>
    </xf>
    <xf numFmtId="174" fontId="63" fillId="0" borderId="0" xfId="845" applyNumberFormat="1" applyFont="1" applyFill="1"/>
    <xf numFmtId="174" fontId="73" fillId="0" borderId="0" xfId="1" applyNumberFormat="1" applyFont="1" applyFill="1" applyAlignment="1">
      <alignment horizontal="right"/>
    </xf>
    <xf numFmtId="164" fontId="63" fillId="0" borderId="0" xfId="1" applyNumberFormat="1" applyFont="1" applyFill="1" applyAlignment="1">
      <alignment horizontal="right"/>
    </xf>
    <xf numFmtId="164" fontId="73" fillId="0" borderId="4" xfId="1" applyNumberFormat="1" applyFont="1" applyFill="1" applyBorder="1" applyAlignment="1">
      <alignment horizontal="right"/>
    </xf>
    <xf numFmtId="164" fontId="73" fillId="0" borderId="0" xfId="1" applyNumberFormat="1" applyFont="1" applyFill="1" applyBorder="1" applyAlignment="1">
      <alignment horizontal="right"/>
    </xf>
    <xf numFmtId="164" fontId="63" fillId="0" borderId="0" xfId="1" applyNumberFormat="1" applyFont="1" applyFill="1" applyBorder="1" applyAlignment="1" applyProtection="1">
      <alignment horizontal="left"/>
    </xf>
    <xf numFmtId="164" fontId="63" fillId="0" borderId="0" xfId="1" applyNumberFormat="1" applyFont="1" applyFill="1"/>
    <xf numFmtId="6" fontId="63" fillId="0" borderId="0" xfId="1" applyNumberFormat="1" applyFont="1" applyAlignment="1">
      <alignment horizontal="right"/>
    </xf>
    <xf numFmtId="42" fontId="63" fillId="5" borderId="0" xfId="1" applyNumberFormat="1" applyFont="1" applyFill="1" applyAlignment="1">
      <alignment horizontal="right"/>
    </xf>
    <xf numFmtId="6" fontId="63" fillId="0" borderId="0" xfId="1" applyNumberFormat="1" applyFont="1"/>
    <xf numFmtId="167" fontId="63" fillId="0" borderId="0" xfId="845" applyNumberFormat="1" applyFont="1"/>
    <xf numFmtId="37" fontId="63" fillId="15" borderId="4" xfId="1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164" fontId="63" fillId="0" borderId="0" xfId="3" applyNumberFormat="1" applyFont="1" applyFill="1" applyBorder="1" applyAlignment="1" applyProtection="1">
      <alignment horizontal="right"/>
    </xf>
    <xf numFmtId="164" fontId="63" fillId="5" borderId="0" xfId="1" applyNumberFormat="1" applyFont="1" applyFill="1" applyAlignment="1" applyProtection="1">
      <alignment horizontal="left"/>
    </xf>
    <xf numFmtId="164" fontId="64" fillId="0" borderId="0" xfId="1" applyNumberFormat="1" applyFont="1" applyAlignment="1"/>
    <xf numFmtId="164" fontId="63" fillId="5" borderId="4" xfId="1" applyNumberFormat="1" applyFont="1" applyFill="1" applyBorder="1" applyAlignment="1">
      <alignment horizontal="right"/>
    </xf>
    <xf numFmtId="43" fontId="63" fillId="0" borderId="0" xfId="1" applyNumberFormat="1" applyFont="1"/>
    <xf numFmtId="0" fontId="18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0" xfId="844" applyFont="1" applyFill="1" applyBorder="1" applyAlignment="1">
      <alignment horizontal="center"/>
    </xf>
    <xf numFmtId="0" fontId="17" fillId="0" borderId="0" xfId="0" quotePrefix="1" applyFont="1" applyFill="1" applyAlignment="1">
      <alignment horizontal="right"/>
    </xf>
    <xf numFmtId="0" fontId="17" fillId="0" borderId="28" xfId="0" applyFont="1" applyFill="1" applyBorder="1"/>
    <xf numFmtId="0" fontId="17" fillId="0" borderId="28" xfId="844" applyFont="1" applyFill="1" applyBorder="1" applyAlignment="1">
      <alignment horizontal="center"/>
    </xf>
    <xf numFmtId="0" fontId="17" fillId="0" borderId="28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/>
    <xf numFmtId="0" fontId="18" fillId="0" borderId="0" xfId="844" applyFont="1" applyFill="1" applyBorder="1" applyAlignment="1">
      <alignment horizontal="right"/>
    </xf>
    <xf numFmtId="0" fontId="17" fillId="0" borderId="0" xfId="0" applyFont="1" applyFill="1"/>
    <xf numFmtId="0" fontId="18" fillId="0" borderId="0" xfId="844" applyFont="1" applyFill="1"/>
    <xf numFmtId="44" fontId="18" fillId="0" borderId="0" xfId="4" applyFont="1" applyFill="1"/>
    <xf numFmtId="166" fontId="18" fillId="0" borderId="0" xfId="0" applyNumberFormat="1" applyFont="1" applyFill="1"/>
    <xf numFmtId="0" fontId="18" fillId="0" borderId="0" xfId="0" quotePrefix="1" applyFont="1" applyFill="1" applyAlignment="1">
      <alignment horizontal="left"/>
    </xf>
    <xf numFmtId="169" fontId="18" fillId="0" borderId="0" xfId="4" applyNumberFormat="1" applyFont="1" applyFill="1"/>
    <xf numFmtId="0" fontId="17" fillId="0" borderId="0" xfId="844" applyFont="1" applyFill="1"/>
    <xf numFmtId="166" fontId="17" fillId="0" borderId="0" xfId="844" applyNumberFormat="1" applyFont="1" applyFill="1" applyBorder="1"/>
    <xf numFmtId="0" fontId="18" fillId="0" borderId="0" xfId="844" applyFont="1" applyFill="1" applyAlignment="1">
      <alignment horizontal="right"/>
    </xf>
    <xf numFmtId="169" fontId="18" fillId="0" borderId="0" xfId="0" applyNumberFormat="1" applyFont="1" applyFill="1"/>
    <xf numFmtId="164" fontId="18" fillId="0" borderId="0" xfId="0" applyNumberFormat="1" applyFont="1" applyFill="1" applyBorder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 indent="1"/>
    </xf>
    <xf numFmtId="42" fontId="18" fillId="0" borderId="0" xfId="0" applyNumberFormat="1" applyFont="1" applyFill="1"/>
    <xf numFmtId="44" fontId="18" fillId="0" borderId="0" xfId="0" applyNumberFormat="1" applyFont="1" applyFill="1"/>
    <xf numFmtId="164" fontId="18" fillId="0" borderId="0" xfId="0" applyNumberFormat="1" applyFont="1" applyFill="1"/>
    <xf numFmtId="0" fontId="18" fillId="0" borderId="0" xfId="0" applyFont="1" applyFill="1" applyBorder="1"/>
    <xf numFmtId="0" fontId="18" fillId="0" borderId="0" xfId="844" applyFont="1" applyFill="1" applyAlignment="1">
      <alignment horizontal="left" indent="1"/>
    </xf>
    <xf numFmtId="174" fontId="18" fillId="0" borderId="0" xfId="0" applyNumberFormat="1" applyFont="1" applyFill="1"/>
    <xf numFmtId="166" fontId="17" fillId="0" borderId="29" xfId="844" applyNumberFormat="1" applyFont="1" applyFill="1" applyBorder="1"/>
    <xf numFmtId="42" fontId="18" fillId="0" borderId="0" xfId="0" applyNumberFormat="1" applyFont="1" applyFill="1" applyBorder="1"/>
    <xf numFmtId="43" fontId="18" fillId="0" borderId="0" xfId="0" applyNumberFormat="1" applyFont="1" applyFill="1"/>
    <xf numFmtId="0" fontId="17" fillId="0" borderId="0" xfId="0" quotePrefix="1" applyFont="1" applyFill="1" applyProtection="1"/>
    <xf numFmtId="164" fontId="18" fillId="0" borderId="0" xfId="843" applyNumberFormat="1" applyFont="1" applyFill="1"/>
    <xf numFmtId="0" fontId="10" fillId="0" borderId="0" xfId="844" applyFont="1" applyFill="1"/>
    <xf numFmtId="164" fontId="18" fillId="0" borderId="0" xfId="843" applyNumberFormat="1" applyFont="1" applyFill="1" applyAlignment="1">
      <alignment horizontal="right"/>
    </xf>
    <xf numFmtId="164" fontId="17" fillId="0" borderId="0" xfId="843" applyNumberFormat="1" applyFont="1" applyFill="1" applyAlignment="1">
      <alignment horizontal="right"/>
    </xf>
    <xf numFmtId="164" fontId="18" fillId="0" borderId="4" xfId="843" applyNumberFormat="1" applyFont="1" applyFill="1" applyBorder="1" applyAlignment="1" applyProtection="1">
      <alignment horizontal="right"/>
    </xf>
    <xf numFmtId="166" fontId="18" fillId="0" borderId="0" xfId="4" applyNumberFormat="1" applyFont="1" applyFill="1"/>
    <xf numFmtId="166" fontId="18" fillId="0" borderId="0" xfId="4" applyNumberFormat="1" applyFont="1" applyFill="1" applyBorder="1"/>
    <xf numFmtId="164" fontId="18" fillId="0" borderId="0" xfId="843" applyNumberFormat="1" applyFont="1" applyFill="1" applyBorder="1"/>
    <xf numFmtId="0" fontId="18" fillId="0" borderId="0" xfId="12" applyFont="1" applyFill="1" applyAlignment="1">
      <alignment horizontal="left"/>
    </xf>
    <xf numFmtId="164" fontId="10" fillId="0" borderId="0" xfId="844" applyNumberFormat="1" applyFont="1" applyFill="1"/>
    <xf numFmtId="0" fontId="18" fillId="0" borderId="0" xfId="12" applyFont="1" applyFill="1"/>
    <xf numFmtId="164" fontId="74" fillId="0" borderId="0" xfId="843" applyNumberFormat="1" applyFont="1" applyFill="1" applyBorder="1"/>
    <xf numFmtId="0" fontId="10" fillId="0" borderId="0" xfId="844" applyFont="1" applyFill="1" applyBorder="1"/>
    <xf numFmtId="164" fontId="10" fillId="0" borderId="0" xfId="844" applyNumberFormat="1" applyFont="1" applyFill="1" applyBorder="1"/>
    <xf numFmtId="164" fontId="10" fillId="0" borderId="0" xfId="843" applyNumberFormat="1" applyFont="1" applyFill="1"/>
    <xf numFmtId="43" fontId="18" fillId="0" borderId="0" xfId="843" applyNumberFormat="1" applyFont="1" applyFill="1"/>
    <xf numFmtId="0" fontId="18" fillId="0" borderId="0" xfId="844" applyFont="1" applyFill="1" applyBorder="1"/>
    <xf numFmtId="43" fontId="18" fillId="0" borderId="0" xfId="843" applyFont="1" applyFill="1" applyBorder="1"/>
    <xf numFmtId="164" fontId="17" fillId="0" borderId="0" xfId="843" quotePrefix="1" applyNumberFormat="1" applyFont="1" applyFill="1" applyAlignment="1">
      <alignment horizontal="center"/>
    </xf>
    <xf numFmtId="164" fontId="18" fillId="0" borderId="0" xfId="1" applyNumberFormat="1" applyFont="1" applyFill="1"/>
    <xf numFmtId="164" fontId="18" fillId="0" borderId="0" xfId="1" applyNumberFormat="1" applyFont="1" applyFill="1" applyAlignment="1">
      <alignment horizontal="center"/>
    </xf>
    <xf numFmtId="178" fontId="18" fillId="0" borderId="0" xfId="4" applyNumberFormat="1" applyFont="1" applyFill="1"/>
    <xf numFmtId="173" fontId="17" fillId="0" borderId="0" xfId="847" applyFont="1" applyFill="1" applyBorder="1" applyAlignment="1">
      <alignment horizontal="center"/>
    </xf>
    <xf numFmtId="0" fontId="6" fillId="14" borderId="0" xfId="0" applyFont="1" applyFill="1"/>
    <xf numFmtId="0" fontId="0" fillId="0" borderId="4" xfId="0" applyBorder="1" applyAlignment="1">
      <alignment horizontal="center"/>
    </xf>
    <xf numFmtId="0" fontId="0" fillId="0" borderId="0" xfId="0" applyFill="1" applyBorder="1"/>
    <xf numFmtId="0" fontId="6" fillId="10" borderId="0" xfId="0" applyFont="1" applyFill="1" applyAlignment="1">
      <alignment horizontal="center"/>
    </xf>
    <xf numFmtId="0" fontId="77" fillId="0" borderId="0" xfId="845" applyFont="1" applyBorder="1"/>
    <xf numFmtId="164" fontId="63" fillId="4" borderId="0" xfId="1" applyNumberFormat="1" applyFont="1" applyFill="1" applyBorder="1" applyAlignment="1" applyProtection="1">
      <alignment horizontal="left"/>
    </xf>
    <xf numFmtId="164" fontId="78" fillId="0" borderId="0" xfId="1" applyNumberFormat="1" applyFont="1" applyAlignment="1" applyProtection="1">
      <alignment horizontal="left"/>
    </xf>
    <xf numFmtId="0" fontId="8" fillId="0" borderId="4" xfId="0" applyFont="1" applyFill="1" applyBorder="1"/>
    <xf numFmtId="0" fontId="6" fillId="0" borderId="4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4" xfId="0" quotePrefix="1" applyFont="1" applyFill="1" applyBorder="1" applyAlignment="1">
      <alignment horizontal="right"/>
    </xf>
    <xf numFmtId="0" fontId="68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17" fontId="6" fillId="0" borderId="0" xfId="0" applyNumberFormat="1" applyFont="1" applyFill="1"/>
    <xf numFmtId="172" fontId="7" fillId="0" borderId="0" xfId="0" applyNumberFormat="1" applyFont="1" applyFill="1" applyAlignment="1">
      <alignment horizontal="center"/>
    </xf>
    <xf numFmtId="177" fontId="59" fillId="0" borderId="0" xfId="11" applyNumberFormat="1" applyFont="1" applyFill="1" applyProtection="1"/>
    <xf numFmtId="8" fontId="6" fillId="0" borderId="0" xfId="0" applyNumberFormat="1" applyFont="1" applyFill="1"/>
    <xf numFmtId="171" fontId="6" fillId="0" borderId="0" xfId="0" applyNumberFormat="1" applyFont="1" applyFill="1"/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2" applyFont="1" applyFill="1" applyAlignment="1">
      <alignment horizontal="center" wrapText="1"/>
    </xf>
    <xf numFmtId="0" fontId="0" fillId="0" borderId="0" xfId="2" applyFont="1" applyFill="1" applyAlignment="1">
      <alignment wrapText="1"/>
    </xf>
    <xf numFmtId="0" fontId="0" fillId="0" borderId="0" xfId="0" applyFill="1" applyAlignment="1">
      <alignment horizontal="center" wrapText="1"/>
    </xf>
    <xf numFmtId="0" fontId="5" fillId="0" borderId="0" xfId="2" applyFill="1"/>
    <xf numFmtId="2" fontId="0" fillId="0" borderId="0" xfId="0" applyNumberFormat="1" applyFill="1"/>
    <xf numFmtId="168" fontId="0" fillId="0" borderId="0" xfId="0" applyNumberFormat="1" applyFill="1"/>
    <xf numFmtId="166" fontId="10" fillId="0" borderId="0" xfId="4" applyNumberFormat="1" applyFont="1" applyFill="1"/>
    <xf numFmtId="174" fontId="10" fillId="0" borderId="4" xfId="845" applyNumberFormat="1" applyFont="1" applyFill="1" applyBorder="1"/>
    <xf numFmtId="174" fontId="10" fillId="0" borderId="0" xfId="1" applyNumberFormat="1" applyFont="1" applyFill="1"/>
    <xf numFmtId="174" fontId="10" fillId="9" borderId="0" xfId="845" applyNumberFormat="1" applyFont="1" applyFill="1"/>
    <xf numFmtId="164" fontId="10" fillId="9" borderId="0" xfId="1" applyNumberFormat="1" applyFont="1" applyFill="1"/>
    <xf numFmtId="174" fontId="10" fillId="0" borderId="0" xfId="845" applyNumberFormat="1" applyFont="1" applyFill="1"/>
    <xf numFmtId="174" fontId="63" fillId="0" borderId="4" xfId="1" applyNumberFormat="1" applyFont="1" applyFill="1" applyBorder="1" applyAlignment="1">
      <alignment horizontal="right"/>
    </xf>
    <xf numFmtId="177" fontId="7" fillId="0" borderId="0" xfId="0" applyNumberFormat="1" applyFont="1" applyFill="1" applyAlignment="1">
      <alignment horizontal="center"/>
    </xf>
    <xf numFmtId="0" fontId="79" fillId="0" borderId="0" xfId="0" applyFont="1" applyBorder="1"/>
    <xf numFmtId="0" fontId="0" fillId="0" borderId="0" xfId="0" applyAlignment="1">
      <alignment horizontal="right"/>
    </xf>
    <xf numFmtId="164" fontId="64" fillId="0" borderId="0" xfId="1" applyNumberFormat="1" applyFont="1" applyAlignment="1">
      <alignment horizontal="center"/>
    </xf>
    <xf numFmtId="164" fontId="63" fillId="15" borderId="0" xfId="1" applyNumberFormat="1" applyFont="1" applyFill="1" applyBorder="1" applyAlignment="1" applyProtection="1">
      <alignment horizontal="center"/>
    </xf>
    <xf numFmtId="164" fontId="63" fillId="0" borderId="4" xfId="1" applyNumberFormat="1" applyFont="1" applyBorder="1" applyAlignment="1">
      <alignment horizontal="center"/>
    </xf>
    <xf numFmtId="174" fontId="63" fillId="0" borderId="0" xfId="1" applyNumberFormat="1" applyFont="1" applyFill="1"/>
    <xf numFmtId="184" fontId="59" fillId="0" borderId="0" xfId="11" applyNumberFormat="1" applyFont="1" applyFill="1" applyProtection="1"/>
    <xf numFmtId="174" fontId="63" fillId="0" borderId="4" xfId="1" applyNumberFormat="1" applyFont="1" applyBorder="1" applyAlignment="1">
      <alignment horizontal="center"/>
    </xf>
    <xf numFmtId="0" fontId="77" fillId="0" borderId="0" xfId="845" quotePrefix="1" applyFont="1" applyAlignment="1">
      <alignment horizontal="right"/>
    </xf>
    <xf numFmtId="164" fontId="0" fillId="0" borderId="0" xfId="0" applyNumberFormat="1"/>
    <xf numFmtId="164" fontId="10" fillId="0" borderId="0" xfId="845" applyNumberFormat="1" applyFont="1" applyBorder="1"/>
    <xf numFmtId="164" fontId="10" fillId="0" borderId="0" xfId="1" applyNumberFormat="1" applyFont="1" applyBorder="1"/>
    <xf numFmtId="0" fontId="10" fillId="0" borderId="0" xfId="845" applyFont="1" applyBorder="1"/>
    <xf numFmtId="166" fontId="10" fillId="0" borderId="0" xfId="6" applyNumberFormat="1" applyFont="1" applyBorder="1"/>
    <xf numFmtId="0" fontId="10" fillId="0" borderId="4" xfId="845" applyFont="1" applyBorder="1"/>
    <xf numFmtId="0" fontId="11" fillId="0" borderId="4" xfId="845" applyFont="1" applyBorder="1"/>
    <xf numFmtId="0" fontId="3" fillId="0" borderId="0" xfId="5" applyBorder="1"/>
    <xf numFmtId="0" fontId="6" fillId="0" borderId="0" xfId="0" quotePrefix="1" applyFont="1"/>
    <xf numFmtId="164" fontId="77" fillId="0" borderId="0" xfId="1" applyNumberFormat="1" applyFont="1" applyBorder="1"/>
    <xf numFmtId="164" fontId="63" fillId="0" borderId="4" xfId="1" applyNumberFormat="1" applyFont="1" applyBorder="1"/>
    <xf numFmtId="0" fontId="10" fillId="0" borderId="0" xfId="845" applyFont="1" applyAlignment="1">
      <alignment horizontal="right"/>
    </xf>
    <xf numFmtId="0" fontId="80" fillId="0" borderId="0" xfId="0" applyFont="1" applyAlignment="1">
      <alignment horizontal="right"/>
    </xf>
    <xf numFmtId="44" fontId="6" fillId="10" borderId="0" xfId="4" applyNumberFormat="1" applyFont="1" applyFill="1"/>
    <xf numFmtId="164" fontId="17" fillId="0" borderId="0" xfId="843" quotePrefix="1" applyNumberFormat="1" applyFont="1" applyFill="1" applyBorder="1" applyAlignment="1">
      <alignment horizontal="center"/>
    </xf>
    <xf numFmtId="174" fontId="17" fillId="0" borderId="0" xfId="843" quotePrefix="1" applyNumberFormat="1" applyFont="1" applyFill="1" applyAlignment="1">
      <alignment horizontal="center"/>
    </xf>
    <xf numFmtId="164" fontId="18" fillId="0" borderId="0" xfId="843" applyNumberFormat="1" applyFont="1" applyFill="1" applyBorder="1" applyAlignment="1">
      <alignment horizontal="right"/>
    </xf>
    <xf numFmtId="0" fontId="18" fillId="0" borderId="0" xfId="844" applyFont="1" applyFill="1" applyAlignment="1">
      <alignment horizontal="center"/>
    </xf>
    <xf numFmtId="164" fontId="17" fillId="0" borderId="0" xfId="843" applyNumberFormat="1" applyFont="1" applyFill="1" applyBorder="1" applyAlignment="1">
      <alignment horizontal="right"/>
    </xf>
    <xf numFmtId="175" fontId="18" fillId="0" borderId="0" xfId="844" applyNumberFormat="1" applyFont="1" applyFill="1" applyAlignment="1" applyProtection="1">
      <alignment horizontal="left"/>
    </xf>
    <xf numFmtId="164" fontId="18" fillId="0" borderId="0" xfId="843" quotePrefix="1" applyNumberFormat="1" applyFont="1" applyFill="1" applyBorder="1" applyAlignment="1" applyProtection="1">
      <alignment horizontal="right"/>
    </xf>
    <xf numFmtId="0" fontId="11" fillId="0" borderId="0" xfId="844" applyFont="1" applyFill="1" applyBorder="1"/>
    <xf numFmtId="164" fontId="10" fillId="0" borderId="0" xfId="843" applyNumberFormat="1" applyFont="1" applyFill="1" applyBorder="1"/>
    <xf numFmtId="164" fontId="18" fillId="0" borderId="0" xfId="844" applyNumberFormat="1" applyFont="1" applyFill="1" applyBorder="1"/>
    <xf numFmtId="0" fontId="75" fillId="0" borderId="0" xfId="0" applyFont="1" applyFill="1"/>
    <xf numFmtId="0" fontId="75" fillId="0" borderId="0" xfId="0" applyFont="1" applyFill="1" applyBorder="1"/>
    <xf numFmtId="174" fontId="63" fillId="0" borderId="0" xfId="1" applyNumberFormat="1" applyFont="1" applyBorder="1" applyAlignment="1" applyProtection="1">
      <alignment horizontal="left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164" fontId="6" fillId="6" borderId="0" xfId="3" applyNumberFormat="1" applyFont="1" applyFill="1"/>
    <xf numFmtId="44" fontId="6" fillId="6" borderId="0" xfId="4" applyFont="1" applyFill="1"/>
    <xf numFmtId="169" fontId="6" fillId="6" borderId="0" xfId="4" applyNumberFormat="1" applyFont="1" applyFill="1"/>
    <xf numFmtId="44" fontId="6" fillId="6" borderId="0" xfId="4" applyNumberFormat="1" applyFont="1" applyFill="1"/>
    <xf numFmtId="44" fontId="6" fillId="6" borderId="0" xfId="0" applyNumberFormat="1" applyFont="1" applyFill="1"/>
    <xf numFmtId="41" fontId="6" fillId="6" borderId="0" xfId="0" applyNumberFormat="1" applyFont="1" applyFill="1"/>
    <xf numFmtId="170" fontId="0" fillId="6" borderId="0" xfId="9" applyNumberFormat="1" applyFont="1" applyFill="1"/>
    <xf numFmtId="174" fontId="6" fillId="6" borderId="0" xfId="3" applyNumberFormat="1" applyFont="1" applyFill="1"/>
    <xf numFmtId="164" fontId="63" fillId="4" borderId="4" xfId="1" applyNumberFormat="1" applyFont="1" applyFill="1" applyBorder="1" applyAlignment="1">
      <alignment horizontal="center"/>
    </xf>
    <xf numFmtId="164" fontId="63" fillId="4" borderId="0" xfId="3" applyNumberFormat="1" applyFont="1" applyFill="1" applyAlignment="1" applyProtection="1">
      <alignment horizontal="left"/>
    </xf>
    <xf numFmtId="185" fontId="63" fillId="4" borderId="4" xfId="1" applyNumberFormat="1" applyFont="1" applyFill="1" applyBorder="1" applyAlignment="1">
      <alignment horizontal="right"/>
    </xf>
    <xf numFmtId="185" fontId="63" fillId="0" borderId="0" xfId="1" applyNumberFormat="1" applyFont="1" applyAlignment="1" applyProtection="1">
      <alignment horizontal="right"/>
    </xf>
    <xf numFmtId="185" fontId="63" fillId="15" borderId="4" xfId="1" applyNumberFormat="1" applyFont="1" applyFill="1" applyBorder="1" applyAlignment="1" applyProtection="1">
      <alignment horizontal="right"/>
    </xf>
    <xf numFmtId="186" fontId="0" fillId="0" borderId="0" xfId="0" applyNumberFormat="1" applyFont="1" applyFill="1" applyAlignment="1">
      <alignment horizontal="right"/>
    </xf>
    <xf numFmtId="43" fontId="63" fillId="5" borderId="0" xfId="1" applyNumberFormat="1" applyFont="1" applyFill="1" applyAlignment="1">
      <alignment horizontal="right"/>
    </xf>
    <xf numFmtId="185" fontId="63" fillId="4" borderId="4" xfId="846" applyNumberFormat="1" applyFont="1" applyFill="1" applyBorder="1"/>
    <xf numFmtId="166" fontId="6" fillId="6" borderId="0" xfId="0" applyNumberFormat="1" applyFont="1" applyFill="1"/>
    <xf numFmtId="183" fontId="18" fillId="0" borderId="0" xfId="0" applyNumberFormat="1" applyFont="1" applyFill="1"/>
    <xf numFmtId="41" fontId="18" fillId="0" borderId="0" xfId="0" applyNumberFormat="1" applyFont="1" applyFill="1"/>
    <xf numFmtId="178" fontId="18" fillId="0" borderId="0" xfId="0" applyNumberFormat="1" applyFont="1" applyFill="1"/>
    <xf numFmtId="0" fontId="17" fillId="0" borderId="0" xfId="0" quotePrefix="1" applyFont="1" applyFill="1" applyAlignment="1">
      <alignment horizontal="left"/>
    </xf>
    <xf numFmtId="42" fontId="17" fillId="0" borderId="29" xfId="0" applyNumberFormat="1" applyFont="1" applyFill="1" applyBorder="1"/>
    <xf numFmtId="166" fontId="17" fillId="0" borderId="0" xfId="0" applyNumberFormat="1" applyFont="1" applyFill="1"/>
    <xf numFmtId="183" fontId="17" fillId="0" borderId="0" xfId="0" applyNumberFormat="1" applyFont="1" applyFill="1"/>
    <xf numFmtId="183" fontId="18" fillId="0" borderId="4" xfId="0" applyNumberFormat="1" applyFont="1" applyFill="1" applyBorder="1"/>
    <xf numFmtId="42" fontId="17" fillId="0" borderId="0" xfId="0" applyNumberFormat="1" applyFont="1" applyFill="1" applyBorder="1"/>
    <xf numFmtId="0" fontId="6" fillId="70" borderId="0" xfId="0" applyFont="1" applyFill="1"/>
    <xf numFmtId="38" fontId="7" fillId="70" borderId="0" xfId="0" applyNumberFormat="1" applyFont="1" applyFill="1" applyAlignment="1">
      <alignment horizontal="center" wrapText="1"/>
    </xf>
    <xf numFmtId="41" fontId="7" fillId="70" borderId="0" xfId="0" applyNumberFormat="1" applyFont="1" applyFill="1" applyAlignment="1">
      <alignment horizontal="center" wrapText="1"/>
    </xf>
    <xf numFmtId="41" fontId="7" fillId="70" borderId="0" xfId="0" quotePrefix="1" applyNumberFormat="1" applyFont="1" applyFill="1" applyBorder="1" applyAlignment="1">
      <alignment horizontal="center" wrapText="1"/>
    </xf>
    <xf numFmtId="41" fontId="7" fillId="70" borderId="0" xfId="0" applyNumberFormat="1" applyFont="1" applyFill="1" applyBorder="1" applyAlignment="1">
      <alignment horizontal="center" wrapText="1"/>
    </xf>
    <xf numFmtId="41" fontId="8" fillId="70" borderId="0" xfId="0" applyNumberFormat="1" applyFont="1" applyFill="1" applyBorder="1" applyAlignment="1">
      <alignment horizontal="center" wrapText="1"/>
    </xf>
    <xf numFmtId="43" fontId="7" fillId="70" borderId="0" xfId="3" applyFont="1" applyFill="1" applyBorder="1" applyAlignment="1">
      <alignment horizontal="center"/>
    </xf>
    <xf numFmtId="43" fontId="7" fillId="70" borderId="0" xfId="3" quotePrefix="1" applyFont="1" applyFill="1" applyBorder="1" applyAlignment="1">
      <alignment horizontal="center" wrapText="1"/>
    </xf>
    <xf numFmtId="43" fontId="7" fillId="70" borderId="0" xfId="3" applyFont="1" applyFill="1" applyBorder="1" applyAlignment="1">
      <alignment horizontal="center" wrapText="1"/>
    </xf>
    <xf numFmtId="0" fontId="6" fillId="70" borderId="0" xfId="0" applyFont="1" applyFill="1" applyAlignment="1">
      <alignment horizontal="center"/>
    </xf>
    <xf numFmtId="167" fontId="6" fillId="8" borderId="0" xfId="0" applyNumberFormat="1" applyFont="1" applyFill="1" applyAlignment="1">
      <alignment horizontal="center"/>
    </xf>
    <xf numFmtId="167" fontId="6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166" fontId="18" fillId="0" borderId="0" xfId="0" applyNumberFormat="1" applyFont="1" applyFill="1" applyBorder="1"/>
    <xf numFmtId="166" fontId="17" fillId="0" borderId="0" xfId="0" applyNumberFormat="1" applyFont="1" applyFill="1" applyBorder="1"/>
    <xf numFmtId="43" fontId="18" fillId="0" borderId="0" xfId="0" applyNumberFormat="1" applyFont="1" applyFill="1" applyBorder="1"/>
    <xf numFmtId="164" fontId="17" fillId="0" borderId="0" xfId="0" applyNumberFormat="1" applyFont="1" applyFill="1"/>
    <xf numFmtId="41" fontId="75" fillId="0" borderId="0" xfId="0" applyNumberFormat="1" applyFont="1"/>
    <xf numFmtId="41" fontId="75" fillId="0" borderId="0" xfId="0" applyNumberFormat="1" applyFont="1" applyAlignment="1">
      <alignment horizontal="right"/>
    </xf>
    <xf numFmtId="41" fontId="18" fillId="0" borderId="28" xfId="848" applyFont="1" applyBorder="1" applyAlignment="1">
      <alignment horizontal="center"/>
    </xf>
    <xf numFmtId="41" fontId="18" fillId="0" borderId="28" xfId="848" quotePrefix="1" applyFont="1" applyBorder="1" applyAlignment="1">
      <alignment horizontal="center" wrapText="1"/>
    </xf>
    <xf numFmtId="41" fontId="18" fillId="0" borderId="0" xfId="848" quotePrefix="1" applyFont="1" applyAlignment="1">
      <alignment horizontal="center"/>
    </xf>
    <xf numFmtId="41" fontId="18" fillId="0" borderId="0" xfId="848" quotePrefix="1" applyFont="1" applyAlignment="1">
      <alignment horizontal="left"/>
    </xf>
    <xf numFmtId="41" fontId="17" fillId="0" borderId="0" xfId="848" applyFont="1"/>
    <xf numFmtId="0" fontId="6" fillId="0" borderId="28" xfId="0" applyFont="1" applyBorder="1"/>
    <xf numFmtId="166" fontId="6" fillId="0" borderId="0" xfId="4" applyNumberFormat="1" applyFont="1"/>
    <xf numFmtId="37" fontId="6" fillId="0" borderId="0" xfId="0" applyNumberFormat="1" applyFont="1"/>
    <xf numFmtId="164" fontId="18" fillId="0" borderId="0" xfId="843" applyNumberFormat="1" applyFont="1" applyFill="1" applyAlignment="1">
      <alignment horizontal="center"/>
    </xf>
    <xf numFmtId="0" fontId="10" fillId="0" borderId="0" xfId="844" applyFont="1" applyFill="1" applyAlignment="1">
      <alignment horizontal="center"/>
    </xf>
    <xf numFmtId="164" fontId="18" fillId="0" borderId="4" xfId="843" applyNumberFormat="1" applyFont="1" applyFill="1" applyBorder="1" applyAlignment="1" applyProtection="1">
      <alignment horizontal="center"/>
    </xf>
    <xf numFmtId="164" fontId="18" fillId="0" borderId="4" xfId="843" applyNumberFormat="1" applyFont="1" applyFill="1" applyBorder="1" applyAlignment="1">
      <alignment horizontal="center"/>
    </xf>
    <xf numFmtId="164" fontId="18" fillId="0" borderId="4" xfId="843" quotePrefix="1" applyNumberFormat="1" applyFont="1" applyFill="1" applyBorder="1" applyAlignment="1" applyProtection="1">
      <alignment horizontal="center"/>
    </xf>
    <xf numFmtId="0" fontId="81" fillId="0" borderId="0" xfId="0" applyFont="1" applyFill="1"/>
    <xf numFmtId="0" fontId="61" fillId="0" borderId="0" xfId="0" applyFont="1" applyFill="1"/>
    <xf numFmtId="174" fontId="63" fillId="0" borderId="0" xfId="1" applyNumberFormat="1" applyFont="1" applyFill="1" applyAlignment="1" applyProtection="1">
      <alignment horizontal="center"/>
    </xf>
    <xf numFmtId="164" fontId="63" fillId="0" borderId="0" xfId="1" applyNumberFormat="1" applyFont="1" applyFill="1" applyProtection="1"/>
    <xf numFmtId="174" fontId="63" fillId="0" borderId="0" xfId="1" applyNumberFormat="1" applyFont="1" applyFill="1" applyBorder="1" applyAlignment="1" applyProtection="1">
      <alignment horizontal="left"/>
    </xf>
    <xf numFmtId="164" fontId="71" fillId="0" borderId="0" xfId="1" applyNumberFormat="1" applyFont="1" applyFill="1"/>
    <xf numFmtId="174" fontId="71" fillId="0" borderId="0" xfId="1" applyNumberFormat="1" applyFont="1" applyFill="1"/>
    <xf numFmtId="174" fontId="63" fillId="0" borderId="4" xfId="1" applyNumberFormat="1" applyFont="1" applyFill="1" applyBorder="1" applyAlignment="1">
      <alignment horizontal="center"/>
    </xf>
    <xf numFmtId="164" fontId="63" fillId="0" borderId="4" xfId="1" applyNumberFormat="1" applyFont="1" applyFill="1" applyBorder="1" applyAlignment="1">
      <alignment horizontal="center"/>
    </xf>
    <xf numFmtId="174" fontId="63" fillId="0" borderId="0" xfId="1" applyNumberFormat="1" applyFont="1" applyFill="1" applyBorder="1" applyAlignment="1">
      <alignment horizontal="right"/>
    </xf>
    <xf numFmtId="174" fontId="73" fillId="0" borderId="0" xfId="1" applyNumberFormat="1" applyFont="1" applyFill="1" applyBorder="1" applyAlignment="1">
      <alignment horizontal="right"/>
    </xf>
    <xf numFmtId="174" fontId="63" fillId="0" borderId="0" xfId="1" applyNumberFormat="1" applyFont="1" applyBorder="1" applyAlignment="1">
      <alignment horizontal="right"/>
    </xf>
    <xf numFmtId="166" fontId="63" fillId="5" borderId="0" xfId="846" applyNumberFormat="1" applyFont="1" applyFill="1"/>
    <xf numFmtId="166" fontId="63" fillId="12" borderId="0" xfId="846" applyNumberFormat="1" applyFont="1" applyFill="1" applyBorder="1" applyAlignment="1">
      <alignment horizontal="right"/>
    </xf>
    <xf numFmtId="174" fontId="63" fillId="12" borderId="0" xfId="1" applyNumberFormat="1" applyFont="1" applyFill="1" applyBorder="1" applyAlignment="1">
      <alignment horizontal="right"/>
    </xf>
    <xf numFmtId="174" fontId="63" fillId="12" borderId="4" xfId="1" applyNumberFormat="1" applyFont="1" applyFill="1" applyBorder="1" applyAlignment="1">
      <alignment horizontal="right"/>
    </xf>
    <xf numFmtId="164" fontId="63" fillId="12" borderId="0" xfId="1" applyNumberFormat="1" applyFont="1" applyFill="1" applyBorder="1" applyAlignment="1">
      <alignment horizontal="right"/>
    </xf>
    <xf numFmtId="164" fontId="63" fillId="12" borderId="4" xfId="1" applyNumberFormat="1" applyFont="1" applyFill="1" applyBorder="1" applyAlignment="1">
      <alignment horizontal="right"/>
    </xf>
    <xf numFmtId="42" fontId="63" fillId="12" borderId="0" xfId="1" applyNumberFormat="1" applyFont="1" applyFill="1" applyAlignment="1">
      <alignment horizontal="right"/>
    </xf>
    <xf numFmtId="185" fontId="63" fillId="12" borderId="0" xfId="846" applyNumberFormat="1" applyFont="1" applyFill="1" applyBorder="1" applyAlignment="1">
      <alignment horizontal="right"/>
    </xf>
    <xf numFmtId="178" fontId="6" fillId="10" borderId="0" xfId="4" applyNumberFormat="1" applyFont="1" applyFill="1"/>
    <xf numFmtId="164" fontId="63" fillId="5" borderId="0" xfId="1" applyNumberFormat="1" applyFont="1" applyFill="1"/>
    <xf numFmtId="179" fontId="63" fillId="0" borderId="0" xfId="1" applyNumberFormat="1" applyFont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174" fontId="10" fillId="0" borderId="4" xfId="1" applyNumberFormat="1" applyFont="1" applyBorder="1" applyAlignment="1">
      <alignment horizontal="center"/>
    </xf>
    <xf numFmtId="164" fontId="1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right" wrapText="1"/>
    </xf>
    <xf numFmtId="185" fontId="0" fillId="0" borderId="0" xfId="0" applyNumberFormat="1" applyFont="1" applyAlignment="1">
      <alignment horizontal="right"/>
    </xf>
    <xf numFmtId="185" fontId="61" fillId="0" borderId="0" xfId="0" applyNumberFormat="1" applyFont="1" applyAlignment="1">
      <alignment horizontal="left"/>
    </xf>
    <xf numFmtId="185" fontId="0" fillId="0" borderId="0" xfId="0" applyNumberFormat="1" applyFont="1" applyAlignment="1">
      <alignment horizontal="left"/>
    </xf>
    <xf numFmtId="187" fontId="0" fillId="0" borderId="0" xfId="0" applyNumberFormat="1" applyFont="1" applyAlignment="1">
      <alignment horizontal="left"/>
    </xf>
    <xf numFmtId="187" fontId="0" fillId="0" borderId="0" xfId="0" applyNumberFormat="1" applyFont="1" applyAlignment="1">
      <alignment horizontal="right"/>
    </xf>
    <xf numFmtId="185" fontId="0" fillId="0" borderId="0" xfId="0" applyNumberFormat="1" applyFont="1" applyFill="1" applyAlignment="1">
      <alignment horizontal="right"/>
    </xf>
    <xf numFmtId="187" fontId="61" fillId="0" borderId="0" xfId="0" applyNumberFormat="1" applyFont="1" applyAlignment="1">
      <alignment horizontal="left"/>
    </xf>
    <xf numFmtId="0" fontId="82" fillId="0" borderId="0" xfId="0" applyFont="1"/>
    <xf numFmtId="164" fontId="78" fillId="0" borderId="4" xfId="1" applyNumberFormat="1" applyFont="1" applyBorder="1" applyAlignment="1" applyProtection="1">
      <alignment horizontal="left"/>
    </xf>
    <xf numFmtId="174" fontId="63" fillId="15" borderId="4" xfId="1" applyNumberFormat="1" applyFont="1" applyFill="1" applyBorder="1" applyAlignment="1">
      <alignment horizontal="right"/>
    </xf>
    <xf numFmtId="174" fontId="73" fillId="0" borderId="4" xfId="1" applyNumberFormat="1" applyFont="1" applyFill="1" applyBorder="1" applyAlignment="1">
      <alignment horizontal="right"/>
    </xf>
    <xf numFmtId="164" fontId="10" fillId="0" borderId="0" xfId="845" applyNumberFormat="1" applyFont="1" applyFill="1" applyBorder="1"/>
    <xf numFmtId="174" fontId="10" fillId="0" borderId="0" xfId="845" applyNumberFormat="1" applyFont="1" applyFill="1" applyBorder="1"/>
    <xf numFmtId="164" fontId="10" fillId="0" borderId="0" xfId="1" applyNumberFormat="1" applyFont="1" applyFill="1" applyBorder="1"/>
    <xf numFmtId="0" fontId="10" fillId="0" borderId="0" xfId="845" applyFont="1" applyFill="1" applyBorder="1"/>
    <xf numFmtId="164" fontId="10" fillId="0" borderId="4" xfId="845" applyNumberFormat="1" applyFont="1" applyFill="1" applyBorder="1"/>
    <xf numFmtId="0" fontId="11" fillId="0" borderId="0" xfId="845" applyFont="1" applyFill="1"/>
    <xf numFmtId="164" fontId="10" fillId="0" borderId="0" xfId="845" applyNumberFormat="1" applyFont="1" applyFill="1"/>
    <xf numFmtId="0" fontId="10" fillId="0" borderId="0" xfId="845" applyFont="1" applyFill="1" applyAlignment="1">
      <alignment horizontal="left"/>
    </xf>
    <xf numFmtId="37" fontId="63" fillId="15" borderId="4" xfId="1" applyNumberFormat="1" applyFont="1" applyFill="1" applyBorder="1" applyAlignment="1">
      <alignment horizontal="right"/>
    </xf>
    <xf numFmtId="185" fontId="63" fillId="15" borderId="4" xfId="1" applyNumberFormat="1" applyFont="1" applyFill="1" applyBorder="1" applyAlignment="1">
      <alignment horizontal="right"/>
    </xf>
    <xf numFmtId="166" fontId="63" fillId="0" borderId="0" xfId="846" applyNumberFormat="1" applyFont="1" applyFill="1" applyBorder="1" applyAlignment="1">
      <alignment horizontal="right"/>
    </xf>
    <xf numFmtId="164" fontId="63" fillId="0" borderId="0" xfId="1" applyNumberFormat="1" applyFont="1" applyFill="1" applyBorder="1" applyAlignment="1">
      <alignment horizontal="right"/>
    </xf>
    <xf numFmtId="0" fontId="1" fillId="0" borderId="0" xfId="5" applyFont="1"/>
    <xf numFmtId="0" fontId="3" fillId="0" borderId="0" xfId="5"/>
    <xf numFmtId="0" fontId="3" fillId="0" borderId="45" xfId="5" applyFill="1" applyBorder="1"/>
    <xf numFmtId="0" fontId="3" fillId="0" borderId="46" xfId="5" applyFill="1" applyBorder="1"/>
    <xf numFmtId="0" fontId="3" fillId="0" borderId="0" xfId="5" applyFill="1" applyBorder="1"/>
    <xf numFmtId="0" fontId="3" fillId="0" borderId="6" xfId="5" applyBorder="1"/>
    <xf numFmtId="0" fontId="3" fillId="0" borderId="47" xfId="5" applyBorder="1"/>
    <xf numFmtId="0" fontId="3" fillId="0" borderId="48" xfId="5" applyBorder="1"/>
    <xf numFmtId="0" fontId="3" fillId="0" borderId="49" xfId="5" applyBorder="1"/>
    <xf numFmtId="0" fontId="3" fillId="0" borderId="7" xfId="5" applyBorder="1"/>
    <xf numFmtId="0" fontId="3" fillId="0" borderId="11" xfId="5" applyBorder="1"/>
    <xf numFmtId="0" fontId="3" fillId="0" borderId="12" xfId="5" applyBorder="1"/>
    <xf numFmtId="0" fontId="3" fillId="0" borderId="50" xfId="5" applyBorder="1"/>
    <xf numFmtId="0" fontId="3" fillId="0" borderId="51" xfId="5" applyBorder="1"/>
    <xf numFmtId="164" fontId="3" fillId="0" borderId="0" xfId="3" applyNumberFormat="1" applyFont="1" applyBorder="1"/>
    <xf numFmtId="164" fontId="3" fillId="0" borderId="13" xfId="3" applyNumberFormat="1" applyFont="1" applyBorder="1"/>
    <xf numFmtId="0" fontId="3" fillId="0" borderId="53" xfId="5" applyBorder="1"/>
    <xf numFmtId="0" fontId="3" fillId="0" borderId="54" xfId="5" applyBorder="1"/>
    <xf numFmtId="0" fontId="3" fillId="0" borderId="9" xfId="5" applyBorder="1"/>
    <xf numFmtId="164" fontId="3" fillId="0" borderId="6" xfId="3" applyNumberFormat="1" applyFont="1" applyBorder="1"/>
    <xf numFmtId="164" fontId="3" fillId="0" borderId="18" xfId="3" applyNumberFormat="1" applyFont="1" applyBorder="1"/>
    <xf numFmtId="164" fontId="3" fillId="0" borderId="55" xfId="3" applyNumberFormat="1" applyFont="1" applyBorder="1"/>
    <xf numFmtId="0" fontId="3" fillId="0" borderId="56" xfId="5" applyBorder="1"/>
    <xf numFmtId="164" fontId="3" fillId="0" borderId="54" xfId="3" applyNumberFormat="1" applyFont="1" applyBorder="1"/>
    <xf numFmtId="164" fontId="3" fillId="0" borderId="57" xfId="3" applyNumberFormat="1" applyFont="1" applyBorder="1"/>
    <xf numFmtId="164" fontId="3" fillId="0" borderId="58" xfId="3" applyNumberFormat="1" applyFont="1" applyBorder="1"/>
    <xf numFmtId="164" fontId="3" fillId="0" borderId="48" xfId="3" applyNumberFormat="1" applyFont="1" applyBorder="1"/>
    <xf numFmtId="0" fontId="3" fillId="0" borderId="7" xfId="5" applyFill="1" applyBorder="1"/>
    <xf numFmtId="0" fontId="3" fillId="0" borderId="11" xfId="5" applyFill="1" applyBorder="1"/>
    <xf numFmtId="0" fontId="3" fillId="0" borderId="12" xfId="5" applyFill="1" applyBorder="1"/>
    <xf numFmtId="164" fontId="3" fillId="0" borderId="11" xfId="3" applyNumberFormat="1" applyFont="1" applyFill="1" applyBorder="1"/>
    <xf numFmtId="164" fontId="3" fillId="0" borderId="12" xfId="3" applyNumberFormat="1" applyFont="1" applyFill="1" applyBorder="1"/>
    <xf numFmtId="164" fontId="3" fillId="0" borderId="50" xfId="3" applyNumberFormat="1" applyFont="1" applyFill="1" applyBorder="1"/>
    <xf numFmtId="0" fontId="3" fillId="0" borderId="0" xfId="5" applyFill="1"/>
    <xf numFmtId="0" fontId="3" fillId="0" borderId="9" xfId="5" applyFill="1" applyBorder="1"/>
    <xf numFmtId="0" fontId="3" fillId="0" borderId="6" xfId="5" applyFill="1" applyBorder="1"/>
    <xf numFmtId="0" fontId="3" fillId="0" borderId="18" xfId="5" applyFill="1" applyBorder="1"/>
    <xf numFmtId="164" fontId="3" fillId="0" borderId="6" xfId="3" applyNumberFormat="1" applyFont="1" applyFill="1" applyBorder="1"/>
    <xf numFmtId="164" fontId="3" fillId="0" borderId="18" xfId="3" applyNumberFormat="1" applyFont="1" applyFill="1" applyBorder="1"/>
    <xf numFmtId="164" fontId="3" fillId="0" borderId="48" xfId="3" applyNumberFormat="1" applyFont="1" applyFill="1" applyBorder="1"/>
    <xf numFmtId="0" fontId="3" fillId="0" borderId="53" xfId="5" applyFill="1" applyBorder="1"/>
    <xf numFmtId="0" fontId="3" fillId="0" borderId="13" xfId="5" applyFill="1" applyBorder="1"/>
    <xf numFmtId="164" fontId="3" fillId="0" borderId="0" xfId="3" applyNumberFormat="1" applyFont="1" applyFill="1" applyBorder="1"/>
    <xf numFmtId="164" fontId="3" fillId="0" borderId="13" xfId="3" applyNumberFormat="1" applyFont="1" applyFill="1" applyBorder="1"/>
    <xf numFmtId="164" fontId="3" fillId="0" borderId="55" xfId="3" applyNumberFormat="1" applyFont="1" applyFill="1" applyBorder="1"/>
    <xf numFmtId="0" fontId="3" fillId="0" borderId="8" xfId="5" applyBorder="1"/>
    <xf numFmtId="0" fontId="3" fillId="0" borderId="4" xfId="5" applyBorder="1"/>
    <xf numFmtId="164" fontId="3" fillId="0" borderId="4" xfId="3" applyNumberFormat="1" applyFont="1" applyBorder="1"/>
    <xf numFmtId="164" fontId="3" fillId="0" borderId="14" xfId="3" applyNumberFormat="1" applyFont="1" applyBorder="1"/>
    <xf numFmtId="164" fontId="3" fillId="0" borderId="60" xfId="3" applyNumberFormat="1" applyFont="1" applyBorder="1"/>
    <xf numFmtId="164" fontId="3" fillId="0" borderId="61" xfId="3" applyNumberFormat="1" applyFont="1" applyBorder="1"/>
    <xf numFmtId="3" fontId="3" fillId="0" borderId="0" xfId="5" applyNumberFormat="1" applyFill="1"/>
    <xf numFmtId="3" fontId="3" fillId="0" borderId="62" xfId="5" applyNumberFormat="1" applyFill="1" applyBorder="1"/>
    <xf numFmtId="0" fontId="1" fillId="0" borderId="0" xfId="5" applyFont="1" applyFill="1"/>
    <xf numFmtId="37" fontId="3" fillId="0" borderId="0" xfId="5" applyNumberFormat="1" applyFill="1"/>
    <xf numFmtId="37" fontId="3" fillId="0" borderId="63" xfId="5" applyNumberFormat="1" applyFill="1" applyBorder="1"/>
    <xf numFmtId="0" fontId="3" fillId="72" borderId="17" xfId="5" applyFill="1" applyBorder="1"/>
    <xf numFmtId="0" fontId="3" fillId="72" borderId="6" xfId="5" applyFill="1" applyBorder="1"/>
    <xf numFmtId="37" fontId="3" fillId="72" borderId="17" xfId="5" applyNumberFormat="1" applyFill="1" applyBorder="1"/>
    <xf numFmtId="0" fontId="3" fillId="73" borderId="17" xfId="5" applyFill="1" applyBorder="1"/>
    <xf numFmtId="0" fontId="3" fillId="73" borderId="6" xfId="5" applyFill="1" applyBorder="1"/>
    <xf numFmtId="37" fontId="3" fillId="73" borderId="17" xfId="5" applyNumberFormat="1" applyFill="1" applyBorder="1"/>
    <xf numFmtId="0" fontId="3" fillId="4" borderId="17" xfId="5" applyFill="1" applyBorder="1"/>
    <xf numFmtId="0" fontId="3" fillId="4" borderId="6" xfId="5" applyFill="1" applyBorder="1"/>
    <xf numFmtId="37" fontId="3" fillId="4" borderId="17" xfId="5" applyNumberFormat="1" applyFill="1" applyBorder="1"/>
    <xf numFmtId="37" fontId="3" fillId="0" borderId="0" xfId="5" applyNumberFormat="1"/>
    <xf numFmtId="0" fontId="3" fillId="0" borderId="0" xfId="5" applyFont="1"/>
    <xf numFmtId="0" fontId="3" fillId="0" borderId="45" xfId="5" applyFont="1" applyFill="1" applyBorder="1"/>
    <xf numFmtId="0" fontId="3" fillId="0" borderId="46" xfId="5" applyFont="1" applyFill="1" applyBorder="1"/>
    <xf numFmtId="0" fontId="3" fillId="0" borderId="0" xfId="5" applyFont="1" applyFill="1" applyBorder="1"/>
    <xf numFmtId="0" fontId="3" fillId="0" borderId="17" xfId="5" applyFont="1" applyBorder="1"/>
    <xf numFmtId="0" fontId="3" fillId="0" borderId="6" xfId="5" applyFont="1" applyBorder="1"/>
    <xf numFmtId="0" fontId="3" fillId="0" borderId="47" xfId="5" applyFont="1" applyBorder="1"/>
    <xf numFmtId="0" fontId="3" fillId="0" borderId="49" xfId="5" applyFont="1" applyBorder="1"/>
    <xf numFmtId="0" fontId="3" fillId="0" borderId="48" xfId="5" applyFont="1" applyBorder="1"/>
    <xf numFmtId="0" fontId="3" fillId="0" borderId="7" xfId="5" applyFont="1" applyBorder="1"/>
    <xf numFmtId="0" fontId="3" fillId="0" borderId="11" xfId="5" applyFont="1" applyBorder="1"/>
    <xf numFmtId="0" fontId="3" fillId="0" borderId="10" xfId="5" applyFont="1" applyBorder="1"/>
    <xf numFmtId="0" fontId="3" fillId="0" borderId="12" xfId="5" applyFont="1" applyBorder="1"/>
    <xf numFmtId="0" fontId="3" fillId="0" borderId="50" xfId="5" applyFont="1" applyBorder="1"/>
    <xf numFmtId="0" fontId="3" fillId="0" borderId="0" xfId="5" applyFont="1" applyBorder="1"/>
    <xf numFmtId="37" fontId="3" fillId="0" borderId="10" xfId="5" applyNumberFormat="1" applyFont="1" applyBorder="1"/>
    <xf numFmtId="164" fontId="3" fillId="0" borderId="11" xfId="3" applyNumberFormat="1" applyFont="1" applyBorder="1"/>
    <xf numFmtId="164" fontId="3" fillId="0" borderId="12" xfId="3" applyNumberFormat="1" applyFont="1" applyBorder="1"/>
    <xf numFmtId="0" fontId="3" fillId="0" borderId="8" xfId="5" applyFont="1" applyBorder="1"/>
    <xf numFmtId="37" fontId="3" fillId="0" borderId="52" xfId="5" applyNumberFormat="1" applyFont="1" applyBorder="1"/>
    <xf numFmtId="0" fontId="3" fillId="0" borderId="53" xfId="5" applyFont="1" applyBorder="1"/>
    <xf numFmtId="0" fontId="3" fillId="0" borderId="54" xfId="5" applyFont="1" applyBorder="1"/>
    <xf numFmtId="0" fontId="3" fillId="0" borderId="9" xfId="5" applyFont="1" applyBorder="1"/>
    <xf numFmtId="37" fontId="3" fillId="0" borderId="17" xfId="5" applyNumberFormat="1" applyFont="1" applyBorder="1"/>
    <xf numFmtId="0" fontId="3" fillId="0" borderId="51" xfId="5" applyFont="1" applyBorder="1"/>
    <xf numFmtId="0" fontId="3" fillId="0" borderId="56" xfId="5" applyFont="1" applyBorder="1"/>
    <xf numFmtId="37" fontId="3" fillId="0" borderId="59" xfId="5" applyNumberFormat="1" applyFont="1" applyBorder="1"/>
    <xf numFmtId="164" fontId="3" fillId="0" borderId="50" xfId="3" applyNumberFormat="1" applyFont="1" applyBorder="1"/>
    <xf numFmtId="0" fontId="3" fillId="0" borderId="7" xfId="5" applyFont="1" applyFill="1" applyBorder="1"/>
    <xf numFmtId="0" fontId="3" fillId="0" borderId="11" xfId="5" applyFont="1" applyFill="1" applyBorder="1"/>
    <xf numFmtId="0" fontId="3" fillId="0" borderId="12" xfId="5" applyFont="1" applyFill="1" applyBorder="1"/>
    <xf numFmtId="37" fontId="3" fillId="0" borderId="10" xfId="5" applyNumberFormat="1" applyFont="1" applyFill="1" applyBorder="1"/>
    <xf numFmtId="0" fontId="3" fillId="0" borderId="64" xfId="5" applyFont="1" applyFill="1" applyBorder="1"/>
    <xf numFmtId="0" fontId="3" fillId="0" borderId="4" xfId="5" applyFont="1" applyFill="1" applyBorder="1"/>
    <xf numFmtId="0" fontId="3" fillId="0" borderId="14" xfId="5" applyFont="1" applyFill="1" applyBorder="1"/>
    <xf numFmtId="37" fontId="3" fillId="0" borderId="15" xfId="5" applyNumberFormat="1" applyFont="1" applyFill="1" applyBorder="1"/>
    <xf numFmtId="164" fontId="3" fillId="0" borderId="4" xfId="3" applyNumberFormat="1" applyFont="1" applyFill="1" applyBorder="1"/>
    <xf numFmtId="164" fontId="3" fillId="0" borderId="14" xfId="3" applyNumberFormat="1" applyFont="1" applyFill="1" applyBorder="1"/>
    <xf numFmtId="164" fontId="3" fillId="0" borderId="65" xfId="3" applyNumberFormat="1" applyFont="1" applyFill="1" applyBorder="1"/>
    <xf numFmtId="0" fontId="3" fillId="0" borderId="9" xfId="5" applyFont="1" applyFill="1" applyBorder="1"/>
    <xf numFmtId="0" fontId="3" fillId="0" borderId="6" xfId="5" applyFont="1" applyFill="1" applyBorder="1"/>
    <xf numFmtId="0" fontId="3" fillId="0" borderId="18" xfId="5" applyFont="1" applyFill="1" applyBorder="1"/>
    <xf numFmtId="37" fontId="3" fillId="0" borderId="17" xfId="5" applyNumberFormat="1" applyFont="1" applyFill="1" applyBorder="1"/>
    <xf numFmtId="0" fontId="3" fillId="0" borderId="53" xfId="5" applyFont="1" applyFill="1" applyBorder="1"/>
    <xf numFmtId="0" fontId="3" fillId="0" borderId="13" xfId="5" applyFont="1" applyFill="1" applyBorder="1"/>
    <xf numFmtId="37" fontId="3" fillId="0" borderId="52" xfId="5" applyNumberFormat="1" applyFont="1" applyFill="1" applyBorder="1"/>
    <xf numFmtId="0" fontId="3" fillId="0" borderId="4" xfId="5" applyFont="1" applyBorder="1"/>
    <xf numFmtId="37" fontId="3" fillId="0" borderId="15" xfId="5" applyNumberFormat="1" applyFont="1" applyBorder="1"/>
    <xf numFmtId="0" fontId="3" fillId="0" borderId="0" xfId="5" applyFont="1" applyFill="1"/>
    <xf numFmtId="3" fontId="3" fillId="0" borderId="0" xfId="5" applyNumberFormat="1" applyFont="1" applyFill="1"/>
    <xf numFmtId="3" fontId="3" fillId="0" borderId="62" xfId="5" applyNumberFormat="1" applyFont="1" applyFill="1" applyBorder="1"/>
    <xf numFmtId="37" fontId="3" fillId="0" borderId="0" xfId="5" applyNumberFormat="1" applyFont="1" applyFill="1"/>
    <xf numFmtId="37" fontId="3" fillId="0" borderId="63" xfId="5" applyNumberFormat="1" applyFont="1" applyFill="1" applyBorder="1"/>
    <xf numFmtId="0" fontId="3" fillId="72" borderId="17" xfId="5" applyFont="1" applyFill="1" applyBorder="1"/>
    <xf numFmtId="0" fontId="3" fillId="72" borderId="6" xfId="5" applyFont="1" applyFill="1" applyBorder="1"/>
    <xf numFmtId="37" fontId="3" fillId="72" borderId="17" xfId="5" applyNumberFormat="1" applyFont="1" applyFill="1" applyBorder="1"/>
    <xf numFmtId="0" fontId="3" fillId="73" borderId="17" xfId="5" applyFont="1" applyFill="1" applyBorder="1"/>
    <xf numFmtId="0" fontId="3" fillId="73" borderId="6" xfId="5" applyFont="1" applyFill="1" applyBorder="1"/>
    <xf numFmtId="37" fontId="3" fillId="73" borderId="17" xfId="5" applyNumberFormat="1" applyFont="1" applyFill="1" applyBorder="1"/>
    <xf numFmtId="0" fontId="3" fillId="4" borderId="17" xfId="5" applyFont="1" applyFill="1" applyBorder="1"/>
    <xf numFmtId="0" fontId="3" fillId="4" borderId="6" xfId="5" applyFont="1" applyFill="1" applyBorder="1"/>
    <xf numFmtId="37" fontId="3" fillId="4" borderId="17" xfId="5" applyNumberFormat="1" applyFont="1" applyFill="1" applyBorder="1"/>
    <xf numFmtId="0" fontId="3" fillId="0" borderId="0" xfId="5" applyBorder="1" applyAlignment="1">
      <alignment horizontal="center"/>
    </xf>
    <xf numFmtId="0" fontId="3" fillId="0" borderId="0" xfId="5" quotePrefix="1" applyBorder="1" applyAlignment="1">
      <alignment horizontal="center"/>
    </xf>
    <xf numFmtId="0" fontId="3" fillId="0" borderId="4" xfId="5" quotePrefix="1" applyBorder="1" applyAlignment="1">
      <alignment horizontal="center"/>
    </xf>
    <xf numFmtId="167" fontId="6" fillId="8" borderId="0" xfId="0" applyNumberFormat="1" applyFont="1" applyFill="1" applyAlignment="1">
      <alignment horizontal="left"/>
    </xf>
    <xf numFmtId="167" fontId="6" fillId="70" borderId="0" xfId="0" applyNumberFormat="1" applyFont="1" applyFill="1"/>
    <xf numFmtId="164" fontId="6" fillId="70" borderId="0" xfId="3" applyNumberFormat="1" applyFont="1" applyFill="1"/>
    <xf numFmtId="166" fontId="6" fillId="70" borderId="0" xfId="0" applyNumberFormat="1" applyFont="1" applyFill="1"/>
    <xf numFmtId="44" fontId="6" fillId="70" borderId="0" xfId="0" applyNumberFormat="1" applyFont="1" applyFill="1"/>
    <xf numFmtId="170" fontId="0" fillId="70" borderId="0" xfId="9" applyNumberFormat="1" applyFont="1" applyFill="1"/>
    <xf numFmtId="0" fontId="0" fillId="70" borderId="0" xfId="0" applyFill="1"/>
    <xf numFmtId="0" fontId="6" fillId="10" borderId="0" xfId="0" applyNumberFormat="1" applyFont="1" applyFill="1" applyAlignment="1">
      <alignment horizontal="center"/>
    </xf>
    <xf numFmtId="166" fontId="6" fillId="11" borderId="0" xfId="0" applyNumberFormat="1" applyFont="1" applyFill="1"/>
    <xf numFmtId="166" fontId="6" fillId="11" borderId="0" xfId="3" applyNumberFormat="1" applyFont="1" applyFill="1"/>
    <xf numFmtId="164" fontId="6" fillId="6" borderId="0" xfId="0" applyNumberFormat="1" applyFont="1" applyFill="1"/>
    <xf numFmtId="0" fontId="10" fillId="74" borderId="0" xfId="845" applyFont="1" applyFill="1" applyAlignment="1">
      <alignment horizontal="center"/>
    </xf>
    <xf numFmtId="174" fontId="10" fillId="74" borderId="0" xfId="1" applyNumberFormat="1" applyFont="1" applyFill="1" applyAlignment="1">
      <alignment horizontal="center"/>
    </xf>
    <xf numFmtId="174" fontId="11" fillId="74" borderId="0" xfId="1" applyNumberFormat="1" applyFont="1" applyFill="1" applyBorder="1" applyAlignment="1">
      <alignment horizontal="right"/>
    </xf>
    <xf numFmtId="167" fontId="10" fillId="74" borderId="4" xfId="1" quotePrefix="1" applyNumberFormat="1" applyFont="1" applyFill="1" applyBorder="1" applyAlignment="1">
      <alignment horizontal="center"/>
    </xf>
    <xf numFmtId="0" fontId="10" fillId="74" borderId="0" xfId="845" applyFont="1" applyFill="1"/>
    <xf numFmtId="174" fontId="10" fillId="74" borderId="0" xfId="1" applyNumberFormat="1" applyFont="1" applyFill="1"/>
    <xf numFmtId="174" fontId="10" fillId="74" borderId="4" xfId="1" applyNumberFormat="1" applyFont="1" applyFill="1" applyBorder="1"/>
    <xf numFmtId="174" fontId="10" fillId="74" borderId="0" xfId="1" applyNumberFormat="1" applyFont="1" applyFill="1" applyBorder="1"/>
    <xf numFmtId="164" fontId="10" fillId="74" borderId="4" xfId="1" applyNumberFormat="1" applyFont="1" applyFill="1" applyBorder="1"/>
    <xf numFmtId="164" fontId="10" fillId="74" borderId="0" xfId="1" applyNumberFormat="1" applyFont="1" applyFill="1"/>
    <xf numFmtId="164" fontId="10" fillId="74" borderId="0" xfId="1" applyNumberFormat="1" applyFont="1" applyFill="1" applyBorder="1"/>
    <xf numFmtId="166" fontId="18" fillId="0" borderId="28" xfId="435" quotePrefix="1" applyNumberFormat="1" applyFont="1" applyBorder="1" applyAlignment="1">
      <alignment horizontal="center" wrapText="1"/>
    </xf>
    <xf numFmtId="10" fontId="18" fillId="0" borderId="0" xfId="10" applyNumberFormat="1" applyFont="1" applyAlignment="1">
      <alignment horizontal="center"/>
    </xf>
    <xf numFmtId="10" fontId="18" fillId="0" borderId="0" xfId="10" applyNumberFormat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183" fontId="18" fillId="0" borderId="0" xfId="0" applyNumberFormat="1" applyFont="1" applyFill="1" applyBorder="1"/>
    <xf numFmtId="164" fontId="6" fillId="0" borderId="0" xfId="0" quotePrefix="1" applyNumberFormat="1" applyFont="1"/>
    <xf numFmtId="0" fontId="80" fillId="0" borderId="0" xfId="0" applyFont="1" applyAlignment="1">
      <alignment horizontal="center"/>
    </xf>
    <xf numFmtId="164" fontId="6" fillId="0" borderId="4" xfId="0" applyNumberFormat="1" applyFont="1" applyBorder="1"/>
    <xf numFmtId="37" fontId="6" fillId="0" borderId="4" xfId="0" quotePrefix="1" applyNumberFormat="1" applyFont="1" applyBorder="1"/>
    <xf numFmtId="0" fontId="6" fillId="0" borderId="0" xfId="0" applyFont="1" applyAlignment="1">
      <alignment horizontal="right"/>
    </xf>
    <xf numFmtId="0" fontId="6" fillId="0" borderId="4" xfId="0" applyFont="1" applyBorder="1"/>
    <xf numFmtId="167" fontId="6" fillId="0" borderId="0" xfId="0" applyNumberFormat="1" applyFont="1" applyFill="1" applyAlignment="1">
      <alignment horizontal="right"/>
    </xf>
    <xf numFmtId="164" fontId="6" fillId="0" borderId="0" xfId="3" applyNumberFormat="1" applyFont="1"/>
    <xf numFmtId="0" fontId="6" fillId="0" borderId="4" xfId="0" applyFont="1" applyBorder="1" applyAlignment="1">
      <alignment horizontal="center"/>
    </xf>
    <xf numFmtId="164" fontId="3" fillId="0" borderId="0" xfId="5" applyNumberFormat="1"/>
    <xf numFmtId="0" fontId="3" fillId="0" borderId="0" xfId="5" applyAlignment="1">
      <alignment horizontal="right"/>
    </xf>
    <xf numFmtId="49" fontId="0" fillId="0" borderId="0" xfId="0" applyNumberFormat="1" applyFont="1" applyAlignment="1">
      <alignment horizontal="left" wrapText="1"/>
    </xf>
    <xf numFmtId="174" fontId="6" fillId="0" borderId="4" xfId="0" applyNumberFormat="1" applyFont="1" applyBorder="1"/>
    <xf numFmtId="0" fontId="6" fillId="0" borderId="4" xfId="0" applyFont="1" applyFill="1" applyBorder="1" applyAlignment="1">
      <alignment horizontal="center"/>
    </xf>
    <xf numFmtId="0" fontId="3" fillId="4" borderId="0" xfId="5" applyFont="1" applyFill="1" applyBorder="1"/>
    <xf numFmtId="37" fontId="3" fillId="4" borderId="0" xfId="5" applyNumberFormat="1" applyFont="1" applyFill="1" applyBorder="1"/>
    <xf numFmtId="174" fontId="6" fillId="0" borderId="0" xfId="0" applyNumberFormat="1" applyFont="1"/>
    <xf numFmtId="43" fontId="6" fillId="0" borderId="0" xfId="0" applyNumberFormat="1" applyFont="1"/>
    <xf numFmtId="174" fontId="6" fillId="9" borderId="0" xfId="3" applyNumberFormat="1" applyFont="1" applyFill="1"/>
    <xf numFmtId="166" fontId="6" fillId="0" borderId="4" xfId="0" applyNumberFormat="1" applyFont="1" applyBorder="1"/>
    <xf numFmtId="0" fontId="11" fillId="0" borderId="0" xfId="845" applyFont="1" applyAlignment="1">
      <alignment horizontal="right" indent="4"/>
    </xf>
    <xf numFmtId="185" fontId="0" fillId="69" borderId="0" xfId="0" applyNumberFormat="1" applyFont="1" applyFill="1" applyAlignment="1">
      <alignment horizontal="right"/>
    </xf>
    <xf numFmtId="185" fontId="61" fillId="0" borderId="0" xfId="0" applyNumberFormat="1" applyFont="1" applyFill="1" applyAlignment="1">
      <alignment horizontal="left"/>
    </xf>
    <xf numFmtId="0" fontId="6" fillId="0" borderId="3" xfId="0" applyFont="1" applyBorder="1"/>
    <xf numFmtId="0" fontId="82" fillId="0" borderId="16" xfId="0" applyFont="1" applyBorder="1"/>
    <xf numFmtId="0" fontId="6" fillId="0" borderId="16" xfId="0" applyFont="1" applyBorder="1"/>
    <xf numFmtId="0" fontId="6" fillId="0" borderId="41" xfId="0" applyFont="1" applyBorder="1"/>
    <xf numFmtId="0" fontId="6" fillId="0" borderId="2" xfId="0" applyFont="1" applyBorder="1"/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/>
    <xf numFmtId="9" fontId="6" fillId="0" borderId="42" xfId="10" applyFont="1" applyBorder="1"/>
    <xf numFmtId="9" fontId="6" fillId="0" borderId="42" xfId="10" applyNumberFormat="1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28" xfId="0" quotePrefix="1" applyFont="1" applyBorder="1" applyAlignment="1">
      <alignment horizontal="right"/>
    </xf>
    <xf numFmtId="0" fontId="6" fillId="0" borderId="44" xfId="0" applyFont="1" applyBorder="1"/>
    <xf numFmtId="0" fontId="18" fillId="0" borderId="0" xfId="0" applyFont="1" applyFill="1" applyAlignment="1">
      <alignment horizontal="left"/>
    </xf>
    <xf numFmtId="183" fontId="17" fillId="0" borderId="0" xfId="0" applyNumberFormat="1" applyFont="1" applyFill="1" applyAlignment="1">
      <alignment horizontal="right"/>
    </xf>
    <xf numFmtId="10" fontId="18" fillId="0" borderId="0" xfId="10" applyNumberFormat="1" applyFont="1" applyFill="1" applyBorder="1"/>
    <xf numFmtId="166" fontId="18" fillId="0" borderId="0" xfId="844" applyNumberFormat="1" applyFont="1" applyFill="1" applyBorder="1"/>
    <xf numFmtId="10" fontId="18" fillId="0" borderId="0" xfId="10" applyNumberFormat="1" applyFont="1" applyFill="1"/>
    <xf numFmtId="10" fontId="75" fillId="0" borderId="0" xfId="10" applyNumberFormat="1" applyFont="1"/>
    <xf numFmtId="166" fontId="75" fillId="0" borderId="0" xfId="0" applyNumberFormat="1" applyFont="1"/>
    <xf numFmtId="166" fontId="75" fillId="0" borderId="0" xfId="0" applyNumberFormat="1" applyFont="1" applyFill="1"/>
    <xf numFmtId="10" fontId="75" fillId="0" borderId="0" xfId="10" applyNumberFormat="1" applyFont="1" applyFill="1"/>
    <xf numFmtId="0" fontId="0" fillId="0" borderId="0" xfId="0" applyAlignment="1">
      <alignment horizontal="center"/>
    </xf>
    <xf numFmtId="166" fontId="18" fillId="0" borderId="6" xfId="4" applyNumberFormat="1" applyFont="1" applyBorder="1"/>
    <xf numFmtId="10" fontId="18" fillId="0" borderId="6" xfId="10" applyNumberFormat="1" applyFont="1" applyBorder="1" applyAlignment="1">
      <alignment horizontal="center"/>
    </xf>
    <xf numFmtId="166" fontId="75" fillId="0" borderId="5" xfId="0" applyNumberFormat="1" applyFont="1" applyBorder="1"/>
    <xf numFmtId="41" fontId="18" fillId="0" borderId="0" xfId="848" quotePrefix="1" applyFont="1" applyAlignment="1">
      <alignment horizontal="left" indent="1"/>
    </xf>
    <xf numFmtId="185" fontId="0" fillId="5" borderId="0" xfId="0" applyNumberFormat="1" applyFont="1" applyFill="1" applyAlignment="1">
      <alignment horizontal="right"/>
    </xf>
    <xf numFmtId="185" fontId="61" fillId="5" borderId="0" xfId="0" applyNumberFormat="1" applyFont="1" applyFill="1" applyAlignment="1">
      <alignment horizontal="left"/>
    </xf>
    <xf numFmtId="9" fontId="18" fillId="0" borderId="0" xfId="10" applyFont="1" applyFill="1"/>
    <xf numFmtId="0" fontId="17" fillId="0" borderId="28" xfId="0" applyFont="1" applyFill="1" applyBorder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left"/>
    </xf>
    <xf numFmtId="43" fontId="76" fillId="0" borderId="0" xfId="0" applyNumberFormat="1" applyFont="1"/>
    <xf numFmtId="41" fontId="76" fillId="0" borderId="0" xfId="0" applyNumberFormat="1" applyFont="1"/>
    <xf numFmtId="41" fontId="76" fillId="0" borderId="0" xfId="0" applyNumberFormat="1" applyFont="1" applyAlignment="1">
      <alignment horizontal="right"/>
    </xf>
    <xf numFmtId="164" fontId="75" fillId="0" borderId="0" xfId="3" applyNumberFormat="1" applyFont="1"/>
    <xf numFmtId="164" fontId="75" fillId="0" borderId="0" xfId="0" applyNumberFormat="1" applyFont="1"/>
    <xf numFmtId="43" fontId="17" fillId="0" borderId="0" xfId="9" quotePrefix="1" applyFont="1" applyAlignment="1">
      <alignment horizontal="left"/>
    </xf>
    <xf numFmtId="0" fontId="76" fillId="0" borderId="0" xfId="0" quotePrefix="1" applyFont="1" applyAlignment="1">
      <alignment horizontal="right"/>
    </xf>
    <xf numFmtId="41" fontId="17" fillId="0" borderId="0" xfId="848" applyFont="1" applyFill="1" applyAlignment="1">
      <alignment horizontal="left"/>
    </xf>
    <xf numFmtId="0" fontId="76" fillId="0" borderId="0" xfId="0" applyFont="1" applyAlignment="1">
      <alignment horizontal="right"/>
    </xf>
    <xf numFmtId="41" fontId="18" fillId="0" borderId="0" xfId="848" applyFont="1" applyFill="1" applyAlignment="1">
      <alignment horizontal="left"/>
    </xf>
    <xf numFmtId="0" fontId="75" fillId="0" borderId="28" xfId="0" applyFont="1" applyBorder="1"/>
    <xf numFmtId="0" fontId="75" fillId="0" borderId="28" xfId="0" applyFont="1" applyBorder="1" applyAlignment="1">
      <alignment horizontal="center" wrapText="1"/>
    </xf>
    <xf numFmtId="0" fontId="75" fillId="0" borderId="28" xfId="0" quotePrefix="1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182" fontId="75" fillId="0" borderId="0" xfId="0" applyNumberFormat="1" applyFont="1" applyAlignment="1">
      <alignment horizontal="center" wrapText="1"/>
    </xf>
    <xf numFmtId="182" fontId="75" fillId="0" borderId="0" xfId="0" applyNumberFormat="1" applyFont="1" applyFill="1" applyAlignment="1">
      <alignment horizontal="center" wrapText="1"/>
    </xf>
    <xf numFmtId="37" fontId="75" fillId="0" borderId="0" xfId="0" applyNumberFormat="1" applyFont="1"/>
    <xf numFmtId="166" fontId="75" fillId="0" borderId="0" xfId="4" applyNumberFormat="1" applyFont="1"/>
    <xf numFmtId="44" fontId="75" fillId="0" borderId="0" xfId="0" applyNumberFormat="1" applyFont="1"/>
    <xf numFmtId="37" fontId="75" fillId="0" borderId="0" xfId="0" applyNumberFormat="1" applyFont="1" applyFill="1"/>
    <xf numFmtId="166" fontId="75" fillId="0" borderId="0" xfId="4" applyNumberFormat="1" applyFont="1" applyFill="1"/>
    <xf numFmtId="44" fontId="75" fillId="0" borderId="0" xfId="4" applyFont="1"/>
    <xf numFmtId="41" fontId="18" fillId="0" borderId="0" xfId="848" applyFont="1" applyFill="1"/>
    <xf numFmtId="164" fontId="75" fillId="0" borderId="0" xfId="9" applyNumberFormat="1" applyFont="1" applyFill="1"/>
    <xf numFmtId="41" fontId="17" fillId="0" borderId="0" xfId="848" applyFont="1" applyFill="1"/>
    <xf numFmtId="164" fontId="75" fillId="0" borderId="0" xfId="9" applyNumberFormat="1" applyFont="1"/>
    <xf numFmtId="0" fontId="75" fillId="0" borderId="0" xfId="0" applyFont="1" applyAlignment="1">
      <alignment horizontal="left" indent="1"/>
    </xf>
    <xf numFmtId="164" fontId="84" fillId="0" borderId="0" xfId="9" applyNumberFormat="1" applyFont="1"/>
    <xf numFmtId="164" fontId="83" fillId="0" borderId="0" xfId="9" applyNumberFormat="1" applyFont="1"/>
    <xf numFmtId="164" fontId="85" fillId="0" borderId="0" xfId="9" applyNumberFormat="1" applyFont="1"/>
    <xf numFmtId="166" fontId="85" fillId="0" borderId="0" xfId="0" applyNumberFormat="1" applyFont="1"/>
    <xf numFmtId="0" fontId="75" fillId="71" borderId="0" xfId="0" applyFont="1" applyFill="1"/>
    <xf numFmtId="37" fontId="75" fillId="71" borderId="0" xfId="0" applyNumberFormat="1" applyFont="1" applyFill="1"/>
    <xf numFmtId="166" fontId="84" fillId="0" borderId="0" xfId="4" applyNumberFormat="1" applyFont="1"/>
    <xf numFmtId="0" fontId="75" fillId="0" borderId="0" xfId="0" quotePrefix="1" applyFont="1" applyAlignment="1">
      <alignment horizontal="left"/>
    </xf>
    <xf numFmtId="166" fontId="85" fillId="0" borderId="0" xfId="4" applyNumberFormat="1" applyFont="1"/>
    <xf numFmtId="0" fontId="75" fillId="0" borderId="0" xfId="0" applyFont="1" applyBorder="1"/>
    <xf numFmtId="0" fontId="76" fillId="0" borderId="0" xfId="0" applyFont="1" applyBorder="1" applyAlignment="1">
      <alignment horizontal="right"/>
    </xf>
    <xf numFmtId="0" fontId="76" fillId="0" borderId="0" xfId="0" applyFont="1" applyBorder="1" applyAlignment="1">
      <alignment horizontal="center"/>
    </xf>
    <xf numFmtId="0" fontId="76" fillId="0" borderId="28" xfId="0" applyFont="1" applyBorder="1" applyAlignment="1">
      <alignment horizontal="left"/>
    </xf>
    <xf numFmtId="0" fontId="76" fillId="0" borderId="28" xfId="0" applyFont="1" applyBorder="1" applyAlignment="1">
      <alignment horizontal="center"/>
    </xf>
    <xf numFmtId="42" fontId="75" fillId="0" borderId="0" xfId="0" applyNumberFormat="1" applyFont="1"/>
    <xf numFmtId="9" fontId="75" fillId="0" borderId="0" xfId="0" applyNumberFormat="1" applyFont="1"/>
    <xf numFmtId="43" fontId="17" fillId="0" borderId="0" xfId="9" applyFont="1" applyBorder="1" applyAlignment="1">
      <alignment horizontal="left"/>
    </xf>
    <xf numFmtId="41" fontId="18" fillId="0" borderId="0" xfId="848" applyFont="1" applyBorder="1"/>
    <xf numFmtId="41" fontId="17" fillId="0" borderId="0" xfId="848" quotePrefix="1" applyFont="1" applyBorder="1" applyAlignment="1">
      <alignment horizontal="right"/>
    </xf>
    <xf numFmtId="41" fontId="18" fillId="0" borderId="0" xfId="848" applyFont="1"/>
    <xf numFmtId="41" fontId="17" fillId="0" borderId="0" xfId="848" applyFont="1" applyBorder="1" applyAlignment="1">
      <alignment horizontal="left"/>
    </xf>
    <xf numFmtId="41" fontId="17" fillId="0" borderId="0" xfId="848" applyFont="1" applyBorder="1" applyAlignment="1">
      <alignment horizontal="right"/>
    </xf>
    <xf numFmtId="41" fontId="18" fillId="0" borderId="0" xfId="848" applyFont="1" applyBorder="1" applyAlignment="1">
      <alignment horizontal="left"/>
    </xf>
    <xf numFmtId="1" fontId="75" fillId="0" borderId="0" xfId="0" applyNumberFormat="1" applyFont="1"/>
    <xf numFmtId="0" fontId="19" fillId="0" borderId="0" xfId="0" applyFont="1" applyFill="1"/>
    <xf numFmtId="10" fontId="74" fillId="0" borderId="0" xfId="8" applyNumberFormat="1" applyFont="1" applyFill="1"/>
    <xf numFmtId="10" fontId="74" fillId="0" borderId="0" xfId="0" applyNumberFormat="1" applyFont="1" applyFill="1"/>
    <xf numFmtId="10" fontId="75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75" fillId="0" borderId="0" xfId="0" quotePrefix="1" applyFont="1" applyFill="1" applyAlignment="1">
      <alignment horizontal="left"/>
    </xf>
    <xf numFmtId="0" fontId="75" fillId="0" borderId="0" xfId="0" applyFont="1" applyFill="1" applyAlignment="1">
      <alignment horizontal="left"/>
    </xf>
    <xf numFmtId="43" fontId="17" fillId="0" borderId="0" xfId="9" applyFont="1" applyFill="1" applyBorder="1" applyAlignment="1">
      <alignment horizontal="left"/>
    </xf>
    <xf numFmtId="41" fontId="17" fillId="0" borderId="0" xfId="848" quotePrefix="1" applyFont="1" applyFill="1" applyBorder="1" applyAlignment="1">
      <alignment horizontal="right"/>
    </xf>
    <xf numFmtId="41" fontId="17" fillId="0" borderId="0" xfId="848" applyFont="1" applyFill="1" applyBorder="1" applyAlignment="1">
      <alignment horizontal="left"/>
    </xf>
    <xf numFmtId="41" fontId="17" fillId="0" borderId="0" xfId="848" applyFont="1" applyFill="1" applyBorder="1" applyAlignment="1">
      <alignment horizontal="right"/>
    </xf>
    <xf numFmtId="41" fontId="18" fillId="0" borderId="0" xfId="848" applyFont="1" applyFill="1" applyBorder="1" applyAlignment="1">
      <alignment horizontal="left"/>
    </xf>
    <xf numFmtId="173" fontId="18" fillId="0" borderId="0" xfId="847" applyFont="1" applyFill="1" applyBorder="1"/>
    <xf numFmtId="173" fontId="18" fillId="0" borderId="0" xfId="847" applyFont="1" applyFill="1" applyBorder="1" applyAlignment="1">
      <alignment horizontal="right"/>
    </xf>
    <xf numFmtId="173" fontId="18" fillId="0" borderId="0" xfId="847" applyFont="1" applyFill="1" applyBorder="1" applyAlignment="1">
      <alignment horizontal="center"/>
    </xf>
    <xf numFmtId="43" fontId="75" fillId="0" borderId="0" xfId="0" applyNumberFormat="1" applyFont="1"/>
    <xf numFmtId="188" fontId="18" fillId="0" borderId="0" xfId="0" applyNumberFormat="1" applyFont="1" applyFill="1"/>
    <xf numFmtId="0" fontId="18" fillId="0" borderId="0" xfId="0" quotePrefix="1" applyFont="1" applyFill="1" applyAlignment="1">
      <alignment horizontal="right"/>
    </xf>
    <xf numFmtId="188" fontId="18" fillId="0" borderId="0" xfId="4" applyNumberFormat="1" applyFont="1" applyFill="1"/>
    <xf numFmtId="188" fontId="75" fillId="0" borderId="0" xfId="0" applyNumberFormat="1" applyFont="1"/>
    <xf numFmtId="42" fontId="17" fillId="0" borderId="0" xfId="0" applyNumberFormat="1" applyFont="1" applyFill="1"/>
    <xf numFmtId="173" fontId="18" fillId="0" borderId="0" xfId="847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0" xfId="0" quotePrefix="1" applyFont="1" applyFill="1" applyAlignment="1">
      <alignment horizontal="center"/>
    </xf>
    <xf numFmtId="164" fontId="18" fillId="0" borderId="0" xfId="844" applyNumberFormat="1" applyFont="1" applyFill="1"/>
    <xf numFmtId="0" fontId="75" fillId="0" borderId="0" xfId="0" applyFont="1" applyAlignment="1">
      <alignment horizontal="center"/>
    </xf>
    <xf numFmtId="173" fontId="18" fillId="0" borderId="0" xfId="847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37" fontId="75" fillId="0" borderId="0" xfId="0" applyNumberFormat="1" applyFont="1" applyAlignment="1">
      <alignment horizontal="center"/>
    </xf>
    <xf numFmtId="176" fontId="75" fillId="0" borderId="0" xfId="0" applyNumberFormat="1" applyFont="1" applyAlignment="1">
      <alignment horizontal="center"/>
    </xf>
    <xf numFmtId="166" fontId="75" fillId="0" borderId="0" xfId="4" applyNumberFormat="1" applyFont="1" applyAlignment="1">
      <alignment horizontal="center"/>
    </xf>
    <xf numFmtId="44" fontId="75" fillId="0" borderId="0" xfId="4" applyNumberFormat="1" applyFont="1" applyAlignment="1">
      <alignment horizontal="center"/>
    </xf>
    <xf numFmtId="44" fontId="75" fillId="0" borderId="0" xfId="4" applyNumberFormat="1" applyFont="1" applyFill="1" applyAlignment="1">
      <alignment horizontal="center"/>
    </xf>
    <xf numFmtId="44" fontId="75" fillId="0" borderId="0" xfId="0" applyNumberFormat="1" applyFont="1" applyAlignment="1">
      <alignment horizontal="center"/>
    </xf>
    <xf numFmtId="10" fontId="75" fillId="0" borderId="0" xfId="10" applyNumberFormat="1" applyFont="1" applyAlignment="1">
      <alignment horizontal="center"/>
    </xf>
    <xf numFmtId="37" fontId="75" fillId="0" borderId="0" xfId="0" applyNumberFormat="1" applyFont="1" applyFill="1" applyAlignment="1">
      <alignment horizontal="center"/>
    </xf>
    <xf numFmtId="166" fontId="75" fillId="0" borderId="0" xfId="4" applyNumberFormat="1" applyFont="1" applyFill="1" applyAlignment="1">
      <alignment horizontal="center"/>
    </xf>
    <xf numFmtId="176" fontId="75" fillId="0" borderId="0" xfId="0" applyNumberFormat="1" applyFont="1" applyFill="1" applyAlignment="1">
      <alignment horizontal="center"/>
    </xf>
    <xf numFmtId="1" fontId="75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44" fontId="75" fillId="0" borderId="0" xfId="4" applyFont="1" applyAlignment="1">
      <alignment horizontal="center"/>
    </xf>
    <xf numFmtId="166" fontId="75" fillId="0" borderId="0" xfId="846" applyNumberFormat="1" applyFont="1" applyAlignment="1">
      <alignment horizontal="center"/>
    </xf>
    <xf numFmtId="10" fontId="75" fillId="0" borderId="0" xfId="0" applyNumberFormat="1" applyFont="1" applyAlignment="1">
      <alignment horizontal="center"/>
    </xf>
    <xf numFmtId="10" fontId="75" fillId="0" borderId="0" xfId="10" applyNumberFormat="1" applyFont="1" applyFill="1" applyAlignment="1">
      <alignment horizontal="center"/>
    </xf>
    <xf numFmtId="42" fontId="75" fillId="0" borderId="0" xfId="0" applyNumberFormat="1" applyFont="1" applyAlignment="1">
      <alignment horizontal="center"/>
    </xf>
    <xf numFmtId="166" fontId="75" fillId="0" borderId="6" xfId="846" applyNumberFormat="1" applyFont="1" applyFill="1" applyBorder="1" applyAlignment="1">
      <alignment horizontal="center"/>
    </xf>
    <xf numFmtId="10" fontId="75" fillId="0" borderId="6" xfId="10" applyNumberFormat="1" applyFont="1" applyFill="1" applyBorder="1" applyAlignment="1">
      <alignment horizontal="center"/>
    </xf>
    <xf numFmtId="164" fontId="75" fillId="0" borderId="0" xfId="843" applyNumberFormat="1" applyFont="1" applyFill="1" applyAlignment="1">
      <alignment horizontal="center"/>
    </xf>
    <xf numFmtId="166" fontId="75" fillId="0" borderId="0" xfId="843" applyNumberFormat="1" applyFont="1" applyFill="1" applyAlignment="1">
      <alignment horizontal="center"/>
    </xf>
    <xf numFmtId="0" fontId="75" fillId="0" borderId="0" xfId="0" applyFont="1" applyFill="1" applyBorder="1" applyAlignment="1">
      <alignment horizontal="center"/>
    </xf>
    <xf numFmtId="175" fontId="18" fillId="0" borderId="0" xfId="847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37" fontId="18" fillId="0" borderId="0" xfId="3" applyNumberFormat="1" applyFont="1" applyFill="1" applyAlignment="1">
      <alignment horizontal="center"/>
    </xf>
    <xf numFmtId="37" fontId="18" fillId="0" borderId="0" xfId="0" applyNumberFormat="1" applyFont="1" applyFill="1" applyAlignment="1">
      <alignment horizontal="center"/>
    </xf>
    <xf numFmtId="41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166" fontId="18" fillId="0" borderId="6" xfId="4" applyNumberFormat="1" applyFont="1" applyFill="1" applyBorder="1"/>
    <xf numFmtId="166" fontId="18" fillId="0" borderId="4" xfId="4" applyNumberFormat="1" applyFont="1" applyFill="1" applyBorder="1"/>
    <xf numFmtId="166" fontId="74" fillId="0" borderId="0" xfId="4" applyNumberFormat="1" applyFont="1" applyFill="1" applyBorder="1"/>
    <xf numFmtId="174" fontId="18" fillId="0" borderId="0" xfId="843" applyNumberFormat="1" applyFont="1" applyFill="1" applyAlignment="1">
      <alignment horizontal="center"/>
    </xf>
    <xf numFmtId="164" fontId="17" fillId="0" borderId="0" xfId="843" applyNumberFormat="1" applyFont="1" applyFill="1" applyAlignment="1">
      <alignment horizontal="center"/>
    </xf>
    <xf numFmtId="174" fontId="17" fillId="0" borderId="0" xfId="843" applyNumberFormat="1" applyFont="1" applyFill="1" applyAlignment="1">
      <alignment horizontal="center"/>
    </xf>
    <xf numFmtId="174" fontId="18" fillId="0" borderId="4" xfId="844" applyNumberFormat="1" applyFont="1" applyFill="1" applyBorder="1" applyAlignment="1">
      <alignment horizontal="center"/>
    </xf>
    <xf numFmtId="166" fontId="18" fillId="0" borderId="0" xfId="4" applyNumberFormat="1" applyFont="1" applyFill="1" applyAlignment="1">
      <alignment horizontal="center"/>
    </xf>
    <xf numFmtId="176" fontId="18" fillId="0" borderId="0" xfId="843" applyNumberFormat="1" applyFont="1" applyFill="1" applyBorder="1" applyAlignment="1">
      <alignment horizontal="center"/>
    </xf>
    <xf numFmtId="176" fontId="18" fillId="0" borderId="6" xfId="843" applyNumberFormat="1" applyFont="1" applyFill="1" applyBorder="1" applyAlignment="1">
      <alignment horizontal="center"/>
    </xf>
    <xf numFmtId="176" fontId="18" fillId="0" borderId="0" xfId="843" applyNumberFormat="1" applyFont="1" applyFill="1" applyAlignment="1">
      <alignment horizontal="center"/>
    </xf>
    <xf numFmtId="164" fontId="18" fillId="0" borderId="6" xfId="843" applyNumberFormat="1" applyFont="1" applyFill="1" applyBorder="1" applyAlignment="1">
      <alignment horizontal="center"/>
    </xf>
    <xf numFmtId="176" fontId="10" fillId="0" borderId="0" xfId="844" applyNumberFormat="1" applyFont="1" applyFill="1" applyBorder="1" applyAlignment="1">
      <alignment horizontal="center"/>
    </xf>
    <xf numFmtId="164" fontId="18" fillId="0" borderId="0" xfId="843" applyNumberFormat="1" applyFont="1" applyFill="1" applyAlignment="1">
      <alignment horizontal="center" vertical="center"/>
    </xf>
    <xf numFmtId="0" fontId="18" fillId="0" borderId="0" xfId="844" applyFont="1" applyFill="1" applyAlignment="1">
      <alignment horizontal="center" vertical="center"/>
    </xf>
    <xf numFmtId="174" fontId="18" fillId="0" borderId="0" xfId="843" applyNumberFormat="1" applyFont="1" applyFill="1" applyAlignment="1">
      <alignment horizontal="center" vertical="center"/>
    </xf>
    <xf numFmtId="164" fontId="17" fillId="0" borderId="0" xfId="843" quotePrefix="1" applyNumberFormat="1" applyFont="1" applyFill="1" applyAlignment="1">
      <alignment horizontal="center" vertical="center"/>
    </xf>
    <xf numFmtId="174" fontId="17" fillId="0" borderId="0" xfId="843" quotePrefix="1" applyNumberFormat="1" applyFont="1" applyFill="1" applyAlignment="1">
      <alignment horizontal="center" vertical="center"/>
    </xf>
    <xf numFmtId="164" fontId="17" fillId="0" borderId="0" xfId="843" applyNumberFormat="1" applyFont="1" applyFill="1" applyAlignment="1">
      <alignment horizontal="center" vertical="center"/>
    </xf>
    <xf numFmtId="174" fontId="17" fillId="0" borderId="0" xfId="843" applyNumberFormat="1" applyFont="1" applyFill="1" applyAlignment="1">
      <alignment horizontal="center" vertical="center"/>
    </xf>
    <xf numFmtId="164" fontId="17" fillId="0" borderId="4" xfId="843" applyNumberFormat="1" applyFont="1" applyFill="1" applyBorder="1" applyAlignment="1" applyProtection="1">
      <alignment horizontal="center" vertical="center"/>
    </xf>
    <xf numFmtId="174" fontId="18" fillId="0" borderId="4" xfId="844" applyNumberFormat="1" applyFont="1" applyFill="1" applyBorder="1" applyAlignment="1">
      <alignment horizontal="center" vertical="center"/>
    </xf>
    <xf numFmtId="166" fontId="18" fillId="0" borderId="0" xfId="4" applyNumberFormat="1" applyFont="1" applyFill="1" applyAlignment="1">
      <alignment horizontal="center" vertical="center"/>
    </xf>
    <xf numFmtId="176" fontId="18" fillId="0" borderId="0" xfId="843" applyNumberFormat="1" applyFont="1" applyFill="1" applyBorder="1" applyAlignment="1">
      <alignment horizontal="center" vertical="center"/>
    </xf>
    <xf numFmtId="170" fontId="18" fillId="0" borderId="6" xfId="1" applyNumberFormat="1" applyFont="1" applyFill="1" applyBorder="1" applyAlignment="1">
      <alignment horizontal="center" vertical="center"/>
    </xf>
    <xf numFmtId="176" fontId="18" fillId="0" borderId="6" xfId="843" applyNumberFormat="1" applyFont="1" applyFill="1" applyBorder="1" applyAlignment="1">
      <alignment horizontal="center" vertical="center"/>
    </xf>
    <xf numFmtId="170" fontId="18" fillId="0" borderId="0" xfId="843" applyNumberFormat="1" applyFont="1" applyFill="1" applyAlignment="1">
      <alignment horizontal="center" vertical="center"/>
    </xf>
    <xf numFmtId="176" fontId="18" fillId="0" borderId="0" xfId="843" applyNumberFormat="1" applyFont="1" applyFill="1" applyAlignment="1">
      <alignment horizontal="center" vertical="center"/>
    </xf>
    <xf numFmtId="170" fontId="18" fillId="0" borderId="6" xfId="843" applyNumberFormat="1" applyFont="1" applyFill="1" applyBorder="1" applyAlignment="1">
      <alignment horizontal="center" vertical="center"/>
    </xf>
    <xf numFmtId="170" fontId="18" fillId="0" borderId="0" xfId="843" applyNumberFormat="1" applyFont="1" applyFill="1" applyBorder="1" applyAlignment="1">
      <alignment horizontal="center" vertical="center"/>
    </xf>
    <xf numFmtId="164" fontId="18" fillId="0" borderId="6" xfId="843" applyNumberFormat="1" applyFont="1" applyFill="1" applyBorder="1" applyAlignment="1">
      <alignment horizontal="center" vertical="center"/>
    </xf>
    <xf numFmtId="37" fontId="18" fillId="0" borderId="6" xfId="844" applyNumberFormat="1" applyFont="1" applyFill="1" applyBorder="1" applyAlignment="1">
      <alignment horizontal="center" vertical="center"/>
    </xf>
    <xf numFmtId="176" fontId="10" fillId="0" borderId="0" xfId="844" applyNumberFormat="1" applyFont="1" applyFill="1" applyBorder="1" applyAlignment="1">
      <alignment horizontal="center" vertical="center"/>
    </xf>
    <xf numFmtId="164" fontId="18" fillId="0" borderId="4" xfId="844" applyNumberFormat="1" applyFont="1" applyFill="1" applyBorder="1" applyAlignment="1">
      <alignment horizontal="center"/>
    </xf>
    <xf numFmtId="164" fontId="18" fillId="0" borderId="0" xfId="843" applyNumberFormat="1" applyFont="1" applyFill="1" applyBorder="1" applyAlignment="1">
      <alignment horizontal="center"/>
    </xf>
    <xf numFmtId="176" fontId="18" fillId="0" borderId="6" xfId="844" applyNumberFormat="1" applyFont="1" applyFill="1" applyBorder="1" applyAlignment="1">
      <alignment horizontal="center"/>
    </xf>
    <xf numFmtId="174" fontId="10" fillId="0" borderId="0" xfId="844" applyNumberFormat="1" applyFont="1" applyFill="1" applyBorder="1" applyAlignment="1">
      <alignment horizontal="center"/>
    </xf>
    <xf numFmtId="166" fontId="18" fillId="0" borderId="0" xfId="4" applyNumberFormat="1" applyFont="1" applyFill="1" applyBorder="1" applyAlignment="1">
      <alignment horizontal="center"/>
    </xf>
    <xf numFmtId="166" fontId="18" fillId="0" borderId="6" xfId="4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86" fillId="0" borderId="0" xfId="0" applyFont="1"/>
    <xf numFmtId="0" fontId="18" fillId="0" borderId="0" xfId="0" quotePrefix="1" applyFont="1" applyFill="1"/>
    <xf numFmtId="17" fontId="0" fillId="0" borderId="0" xfId="0" applyNumberFormat="1" applyAlignment="1">
      <alignment horizontal="center"/>
    </xf>
    <xf numFmtId="17" fontId="0" fillId="0" borderId="4" xfId="0" applyNumberFormat="1" applyBorder="1" applyAlignment="1">
      <alignment horizontal="center"/>
    </xf>
    <xf numFmtId="164" fontId="6" fillId="0" borderId="4" xfId="3" applyNumberFormat="1" applyFont="1" applyBorder="1"/>
    <xf numFmtId="17" fontId="0" fillId="0" borderId="0" xfId="0" applyNumberFormat="1" applyBorder="1" applyAlignment="1">
      <alignment horizontal="center"/>
    </xf>
    <xf numFmtId="189" fontId="6" fillId="0" borderId="0" xfId="0" applyNumberFormat="1" applyFont="1"/>
    <xf numFmtId="189" fontId="6" fillId="0" borderId="4" xfId="0" applyNumberFormat="1" applyFont="1" applyBorder="1"/>
    <xf numFmtId="0" fontId="6" fillId="0" borderId="15" xfId="0" applyFont="1" applyBorder="1" applyAlignment="1">
      <alignment horizontal="center"/>
    </xf>
    <xf numFmtId="164" fontId="6" fillId="0" borderId="52" xfId="0" applyNumberFormat="1" applyFont="1" applyBorder="1"/>
    <xf numFmtId="164" fontId="6" fillId="0" borderId="15" xfId="0" applyNumberFormat="1" applyFont="1" applyBorder="1"/>
    <xf numFmtId="164" fontId="6" fillId="0" borderId="10" xfId="0" applyNumberFormat="1" applyFont="1" applyBorder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7" fillId="0" borderId="0" xfId="0" applyFont="1" applyFill="1" applyBorder="1"/>
    <xf numFmtId="0" fontId="61" fillId="0" borderId="0" xfId="0" applyFont="1" applyFill="1" applyBorder="1"/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4" xfId="2" applyFont="1" applyFill="1" applyBorder="1" applyAlignment="1">
      <alignment wrapText="1"/>
    </xf>
    <xf numFmtId="49" fontId="0" fillId="0" borderId="0" xfId="0" applyNumberFormat="1" applyFill="1"/>
    <xf numFmtId="173" fontId="4" fillId="0" borderId="0" xfId="0" applyNumberFormat="1" applyFont="1" applyFill="1"/>
    <xf numFmtId="0" fontId="8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3" fontId="18" fillId="0" borderId="0" xfId="847" quotePrefix="1" applyFont="1" applyFill="1" applyBorder="1" applyAlignment="1">
      <alignment horizontal="center"/>
    </xf>
    <xf numFmtId="173" fontId="18" fillId="0" borderId="0" xfId="847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1" fillId="0" borderId="28" xfId="845" quotePrefix="1" applyFont="1" applyBorder="1" applyAlignment="1">
      <alignment horizontal="center"/>
    </xf>
    <xf numFmtId="0" fontId="11" fillId="0" borderId="28" xfId="845" applyFont="1" applyBorder="1" applyAlignment="1">
      <alignment horizontal="center"/>
    </xf>
    <xf numFmtId="164" fontId="63" fillId="0" borderId="4" xfId="1" quotePrefix="1" applyNumberFormat="1" applyFont="1" applyBorder="1" applyAlignment="1">
      <alignment horizontal="center"/>
    </xf>
    <xf numFmtId="164" fontId="63" fillId="0" borderId="4" xfId="1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849">
    <cellStyle name="20% - Accent1 10" xfId="13"/>
    <cellStyle name="20% - Accent1 11" xfId="14"/>
    <cellStyle name="20% - Accent1 12" xfId="15"/>
    <cellStyle name="20% - Accent1 13" xfId="16"/>
    <cellStyle name="20% - Accent1 14" xfId="17"/>
    <cellStyle name="20% - Accent1 15" xfId="18"/>
    <cellStyle name="20% - Accent1 16" xfId="19"/>
    <cellStyle name="20% - Accent1 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8"/>
    <cellStyle name="20% - Accent2 11" xfId="29"/>
    <cellStyle name="20% - Accent2 12" xfId="30"/>
    <cellStyle name="20% - Accent2 13" xfId="31"/>
    <cellStyle name="20% - Accent2 14" xfId="32"/>
    <cellStyle name="20% - Accent2 15" xfId="33"/>
    <cellStyle name="20% - Accent2 16" xfId="34"/>
    <cellStyle name="20% - Accent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 10" xfId="43"/>
    <cellStyle name="20% - Accent3 11" xfId="44"/>
    <cellStyle name="20% - Accent3 12" xfId="45"/>
    <cellStyle name="20% - Accent3 13" xfId="46"/>
    <cellStyle name="20% - Accent3 14" xfId="47"/>
    <cellStyle name="20% - Accent3 15" xfId="48"/>
    <cellStyle name="20% - Accent3 16" xfId="49"/>
    <cellStyle name="20% - Accent3 2" xfId="50"/>
    <cellStyle name="20% - Accent3 3" xfId="51"/>
    <cellStyle name="20% - Accent3 4" xfId="52"/>
    <cellStyle name="20% - Accent3 5" xfId="53"/>
    <cellStyle name="20% - Accent3 6" xfId="54"/>
    <cellStyle name="20% - Accent3 7" xfId="55"/>
    <cellStyle name="20% - Accent3 8" xfId="56"/>
    <cellStyle name="20% - Accent3 9" xfId="57"/>
    <cellStyle name="20% - Accent4 10" xfId="58"/>
    <cellStyle name="20% - Accent4 11" xfId="59"/>
    <cellStyle name="20% - Accent4 12" xfId="60"/>
    <cellStyle name="20% - Accent4 13" xfId="61"/>
    <cellStyle name="20% - Accent4 14" xfId="62"/>
    <cellStyle name="20% - Accent4 15" xfId="63"/>
    <cellStyle name="20% - Accent4 16" xfId="64"/>
    <cellStyle name="20% - Accent4 2" xfId="65"/>
    <cellStyle name="20% - Accent4 3" xfId="66"/>
    <cellStyle name="20% - Accent4 4" xfId="67"/>
    <cellStyle name="20% - Accent4 5" xfId="68"/>
    <cellStyle name="20% - Accent4 6" xfId="69"/>
    <cellStyle name="20% - Accent4 7" xfId="70"/>
    <cellStyle name="20% - Accent4 8" xfId="71"/>
    <cellStyle name="20% - Accent4 9" xfId="72"/>
    <cellStyle name="20% - Accent5 10" xfId="73"/>
    <cellStyle name="20% - Accent5 11" xfId="74"/>
    <cellStyle name="20% - Accent5 12" xfId="75"/>
    <cellStyle name="20% - Accent5 13" xfId="76"/>
    <cellStyle name="20% - Accent5 14" xfId="77"/>
    <cellStyle name="20% - Accent5 15" xfId="78"/>
    <cellStyle name="20% - Accent5 16" xfId="79"/>
    <cellStyle name="20% - Accent5 2" xfId="80"/>
    <cellStyle name="20% - Accent5 3" xfId="81"/>
    <cellStyle name="20% - Accent5 4" xfId="82"/>
    <cellStyle name="20% - Accent5 5" xfId="83"/>
    <cellStyle name="20% - Accent5 6" xfId="84"/>
    <cellStyle name="20% - Accent5 7" xfId="85"/>
    <cellStyle name="20% - Accent5 8" xfId="86"/>
    <cellStyle name="20% - Accent5 9" xfId="87"/>
    <cellStyle name="20% - Accent6 10" xfId="88"/>
    <cellStyle name="20% - Accent6 11" xfId="89"/>
    <cellStyle name="20% - Accent6 12" xfId="90"/>
    <cellStyle name="20% - Accent6 13" xfId="91"/>
    <cellStyle name="20% - Accent6 14" xfId="92"/>
    <cellStyle name="20% - Accent6 15" xfId="93"/>
    <cellStyle name="20% - Accent6 16" xfId="94"/>
    <cellStyle name="20% - Accent6 2" xfId="95"/>
    <cellStyle name="20% - Accent6 3" xfId="96"/>
    <cellStyle name="20% - Accent6 4" xfId="97"/>
    <cellStyle name="20% - Accent6 5" xfId="98"/>
    <cellStyle name="20% - Accent6 6" xfId="99"/>
    <cellStyle name="20% - Accent6 7" xfId="100"/>
    <cellStyle name="20% - Accent6 8" xfId="101"/>
    <cellStyle name="20% - Accent6 9" xfId="102"/>
    <cellStyle name="40% - Accent1 10" xfId="103"/>
    <cellStyle name="40% - Accent1 11" xfId="104"/>
    <cellStyle name="40% - Accent1 12" xfId="105"/>
    <cellStyle name="40% - Accent1 13" xfId="106"/>
    <cellStyle name="40% - Accent1 14" xfId="107"/>
    <cellStyle name="40% - Accent1 15" xfId="108"/>
    <cellStyle name="40% - Accent1 16" xfId="109"/>
    <cellStyle name="40% - Accent1 2" xfId="110"/>
    <cellStyle name="40% - Accent1 3" xfId="111"/>
    <cellStyle name="40% - Accent1 4" xfId="112"/>
    <cellStyle name="40% - Accent1 5" xfId="113"/>
    <cellStyle name="40% - Accent1 6" xfId="114"/>
    <cellStyle name="40% - Accent1 7" xfId="115"/>
    <cellStyle name="40% - Accent1 8" xfId="116"/>
    <cellStyle name="40% - Accent1 9" xfId="117"/>
    <cellStyle name="40% - Accent2 10" xfId="118"/>
    <cellStyle name="40% - Accent2 11" xfId="119"/>
    <cellStyle name="40% - Accent2 12" xfId="120"/>
    <cellStyle name="40% - Accent2 13" xfId="121"/>
    <cellStyle name="40% - Accent2 14" xfId="122"/>
    <cellStyle name="40% - Accent2 15" xfId="123"/>
    <cellStyle name="40% - Accent2 16" xfId="124"/>
    <cellStyle name="40% - Accent2 2" xfId="125"/>
    <cellStyle name="40% - Accent2 3" xfId="126"/>
    <cellStyle name="40% - Accent2 4" xfId="127"/>
    <cellStyle name="40% - Accent2 5" xfId="128"/>
    <cellStyle name="40% - Accent2 6" xfId="129"/>
    <cellStyle name="40% - Accent2 7" xfId="130"/>
    <cellStyle name="40% - Accent2 8" xfId="131"/>
    <cellStyle name="40% - Accent2 9" xfId="132"/>
    <cellStyle name="40% - Accent3 10" xfId="133"/>
    <cellStyle name="40% - Accent3 11" xfId="134"/>
    <cellStyle name="40% - Accent3 12" xfId="135"/>
    <cellStyle name="40% - Accent3 13" xfId="136"/>
    <cellStyle name="40% - Accent3 14" xfId="137"/>
    <cellStyle name="40% - Accent3 15" xfId="138"/>
    <cellStyle name="40% - Accent3 16" xfId="139"/>
    <cellStyle name="40% - Accent3 2" xfId="140"/>
    <cellStyle name="40% - Accent3 3" xfId="141"/>
    <cellStyle name="40% - Accent3 4" xfId="142"/>
    <cellStyle name="40% - Accent3 5" xfId="143"/>
    <cellStyle name="40% - Accent3 6" xfId="144"/>
    <cellStyle name="40% - Accent3 7" xfId="145"/>
    <cellStyle name="40% - Accent3 8" xfId="146"/>
    <cellStyle name="40% - Accent3 9" xfId="147"/>
    <cellStyle name="40% - Accent4 10" xfId="148"/>
    <cellStyle name="40% - Accent4 11" xfId="149"/>
    <cellStyle name="40% - Accent4 12" xfId="150"/>
    <cellStyle name="40% - Accent4 13" xfId="151"/>
    <cellStyle name="40% - Accent4 14" xfId="152"/>
    <cellStyle name="40% - Accent4 15" xfId="153"/>
    <cellStyle name="40% - Accent4 16" xfId="154"/>
    <cellStyle name="40% - Accent4 2" xfId="155"/>
    <cellStyle name="40% - Accent4 3" xfId="156"/>
    <cellStyle name="40% - Accent4 4" xfId="157"/>
    <cellStyle name="40% - Accent4 5" xfId="158"/>
    <cellStyle name="40% - Accent4 6" xfId="159"/>
    <cellStyle name="40% - Accent4 7" xfId="160"/>
    <cellStyle name="40% - Accent4 8" xfId="161"/>
    <cellStyle name="40% - Accent4 9" xfId="162"/>
    <cellStyle name="40% - Accent5 10" xfId="163"/>
    <cellStyle name="40% - Accent5 11" xfId="164"/>
    <cellStyle name="40% - Accent5 12" xfId="165"/>
    <cellStyle name="40% - Accent5 13" xfId="166"/>
    <cellStyle name="40% - Accent5 14" xfId="167"/>
    <cellStyle name="40% - Accent5 15" xfId="168"/>
    <cellStyle name="40% - Accent5 16" xfId="169"/>
    <cellStyle name="40% - Accent5 2" xfId="170"/>
    <cellStyle name="40% - Accent5 3" xfId="171"/>
    <cellStyle name="40% - Accent5 4" xfId="172"/>
    <cellStyle name="40% - Accent5 5" xfId="173"/>
    <cellStyle name="40% - Accent5 6" xfId="174"/>
    <cellStyle name="40% - Accent5 7" xfId="175"/>
    <cellStyle name="40% - Accent5 8" xfId="176"/>
    <cellStyle name="40% - Accent5 9" xfId="177"/>
    <cellStyle name="40% - Accent6 10" xfId="178"/>
    <cellStyle name="40% - Accent6 11" xfId="179"/>
    <cellStyle name="40% - Accent6 12" xfId="180"/>
    <cellStyle name="40% - Accent6 13" xfId="181"/>
    <cellStyle name="40% - Accent6 14" xfId="182"/>
    <cellStyle name="40% - Accent6 15" xfId="183"/>
    <cellStyle name="40% - Accent6 16" xfId="184"/>
    <cellStyle name="40% - Accent6 2" xfId="185"/>
    <cellStyle name="40% - Accent6 3" xfId="186"/>
    <cellStyle name="40% - Accent6 4" xfId="187"/>
    <cellStyle name="40% - Accent6 5" xfId="188"/>
    <cellStyle name="40% - Accent6 6" xfId="189"/>
    <cellStyle name="40% - Accent6 7" xfId="190"/>
    <cellStyle name="40% - Accent6 8" xfId="191"/>
    <cellStyle name="40% - Accent6 9" xfId="192"/>
    <cellStyle name="60% - Accent1 10" xfId="193"/>
    <cellStyle name="60% - Accent1 11" xfId="194"/>
    <cellStyle name="60% - Accent1 12" xfId="195"/>
    <cellStyle name="60% - Accent1 13" xfId="196"/>
    <cellStyle name="60% - Accent1 14" xfId="197"/>
    <cellStyle name="60% - Accent1 15" xfId="198"/>
    <cellStyle name="60% - Accent1 16" xfId="199"/>
    <cellStyle name="60% - Accent1 2" xfId="200"/>
    <cellStyle name="60% - Accent1 3" xfId="201"/>
    <cellStyle name="60% - Accent1 4" xfId="202"/>
    <cellStyle name="60% - Accent1 5" xfId="203"/>
    <cellStyle name="60% - Accent1 6" xfId="204"/>
    <cellStyle name="60% - Accent1 7" xfId="205"/>
    <cellStyle name="60% - Accent1 8" xfId="206"/>
    <cellStyle name="60% - Accent1 9" xfId="207"/>
    <cellStyle name="60% - Accent2 10" xfId="208"/>
    <cellStyle name="60% - Accent2 11" xfId="209"/>
    <cellStyle name="60% - Accent2 12" xfId="210"/>
    <cellStyle name="60% - Accent2 13" xfId="211"/>
    <cellStyle name="60% - Accent2 14" xfId="212"/>
    <cellStyle name="60% - Accent2 15" xfId="213"/>
    <cellStyle name="60% - Accent2 16" xfId="214"/>
    <cellStyle name="60% - Accent2 2" xfId="215"/>
    <cellStyle name="60% - Accent2 3" xfId="216"/>
    <cellStyle name="60% - Accent2 4" xfId="217"/>
    <cellStyle name="60% - Accent2 5" xfId="218"/>
    <cellStyle name="60% - Accent2 6" xfId="219"/>
    <cellStyle name="60% - Accent2 7" xfId="220"/>
    <cellStyle name="60% - Accent2 8" xfId="221"/>
    <cellStyle name="60% - Accent2 9" xfId="222"/>
    <cellStyle name="60% - Accent3 10" xfId="223"/>
    <cellStyle name="60% - Accent3 11" xfId="224"/>
    <cellStyle name="60% - Accent3 12" xfId="225"/>
    <cellStyle name="60% - Accent3 13" xfId="226"/>
    <cellStyle name="60% - Accent3 14" xfId="227"/>
    <cellStyle name="60% - Accent3 15" xfId="228"/>
    <cellStyle name="60% - Accent3 16" xfId="229"/>
    <cellStyle name="60% - Accent3 2" xfId="230"/>
    <cellStyle name="60% - Accent3 3" xfId="231"/>
    <cellStyle name="60% - Accent3 4" xfId="232"/>
    <cellStyle name="60% - Accent3 5" xfId="233"/>
    <cellStyle name="60% - Accent3 6" xfId="234"/>
    <cellStyle name="60% - Accent3 7" xfId="235"/>
    <cellStyle name="60% - Accent3 8" xfId="236"/>
    <cellStyle name="60% - Accent3 9" xfId="237"/>
    <cellStyle name="60% - Accent4 10" xfId="238"/>
    <cellStyle name="60% - Accent4 11" xfId="239"/>
    <cellStyle name="60% - Accent4 12" xfId="240"/>
    <cellStyle name="60% - Accent4 13" xfId="241"/>
    <cellStyle name="60% - Accent4 14" xfId="242"/>
    <cellStyle name="60% - Accent4 15" xfId="243"/>
    <cellStyle name="60% - Accent4 16" xfId="244"/>
    <cellStyle name="60% - Accent4 2" xfId="245"/>
    <cellStyle name="60% - Accent4 3" xfId="246"/>
    <cellStyle name="60% - Accent4 4" xfId="247"/>
    <cellStyle name="60% - Accent4 5" xfId="248"/>
    <cellStyle name="60% - Accent4 6" xfId="249"/>
    <cellStyle name="60% - Accent4 7" xfId="250"/>
    <cellStyle name="60% - Accent4 8" xfId="251"/>
    <cellStyle name="60% - Accent4 9" xfId="252"/>
    <cellStyle name="60% - Accent5 10" xfId="253"/>
    <cellStyle name="60% - Accent5 11" xfId="254"/>
    <cellStyle name="60% - Accent5 12" xfId="255"/>
    <cellStyle name="60% - Accent5 13" xfId="256"/>
    <cellStyle name="60% - Accent5 14" xfId="257"/>
    <cellStyle name="60% - Accent5 15" xfId="258"/>
    <cellStyle name="60% - Accent5 16" xfId="259"/>
    <cellStyle name="60% - Accent5 2" xfId="260"/>
    <cellStyle name="60% - Accent5 3" xfId="261"/>
    <cellStyle name="60% - Accent5 4" xfId="262"/>
    <cellStyle name="60% - Accent5 5" xfId="263"/>
    <cellStyle name="60% - Accent5 6" xfId="264"/>
    <cellStyle name="60% - Accent5 7" xfId="265"/>
    <cellStyle name="60% - Accent5 8" xfId="266"/>
    <cellStyle name="60% - Accent5 9" xfId="267"/>
    <cellStyle name="60% - Accent6 10" xfId="268"/>
    <cellStyle name="60% - Accent6 11" xfId="269"/>
    <cellStyle name="60% - Accent6 12" xfId="270"/>
    <cellStyle name="60% - Accent6 13" xfId="271"/>
    <cellStyle name="60% - Accent6 14" xfId="272"/>
    <cellStyle name="60% - Accent6 15" xfId="273"/>
    <cellStyle name="60% - Accent6 16" xfId="274"/>
    <cellStyle name="60% - Accent6 2" xfId="275"/>
    <cellStyle name="60% - Accent6 3" xfId="276"/>
    <cellStyle name="60% - Accent6 4" xfId="277"/>
    <cellStyle name="60% - Accent6 5" xfId="278"/>
    <cellStyle name="60% - Accent6 6" xfId="279"/>
    <cellStyle name="60% - Accent6 7" xfId="280"/>
    <cellStyle name="60% - Accent6 8" xfId="281"/>
    <cellStyle name="60% - Accent6 9" xfId="282"/>
    <cellStyle name="Accent1 10" xfId="283"/>
    <cellStyle name="Accent1 11" xfId="284"/>
    <cellStyle name="Accent1 12" xfId="285"/>
    <cellStyle name="Accent1 13" xfId="286"/>
    <cellStyle name="Accent1 14" xfId="287"/>
    <cellStyle name="Accent1 15" xfId="288"/>
    <cellStyle name="Accent1 16" xfId="289"/>
    <cellStyle name="Accent1 2" xfId="290"/>
    <cellStyle name="Accent1 3" xfId="291"/>
    <cellStyle name="Accent1 4" xfId="292"/>
    <cellStyle name="Accent1 5" xfId="293"/>
    <cellStyle name="Accent1 6" xfId="294"/>
    <cellStyle name="Accent1 7" xfId="295"/>
    <cellStyle name="Accent1 8" xfId="296"/>
    <cellStyle name="Accent1 9" xfId="297"/>
    <cellStyle name="Accent2 10" xfId="298"/>
    <cellStyle name="Accent2 11" xfId="299"/>
    <cellStyle name="Accent2 12" xfId="300"/>
    <cellStyle name="Accent2 13" xfId="301"/>
    <cellStyle name="Accent2 14" xfId="302"/>
    <cellStyle name="Accent2 15" xfId="303"/>
    <cellStyle name="Accent2 16" xfId="304"/>
    <cellStyle name="Accent2 2" xfId="305"/>
    <cellStyle name="Accent2 3" xfId="306"/>
    <cellStyle name="Accent2 4" xfId="307"/>
    <cellStyle name="Accent2 5" xfId="308"/>
    <cellStyle name="Accent2 6" xfId="309"/>
    <cellStyle name="Accent2 7" xfId="310"/>
    <cellStyle name="Accent2 8" xfId="311"/>
    <cellStyle name="Accent2 9" xfId="312"/>
    <cellStyle name="Accent3 10" xfId="313"/>
    <cellStyle name="Accent3 11" xfId="314"/>
    <cellStyle name="Accent3 12" xfId="315"/>
    <cellStyle name="Accent3 13" xfId="316"/>
    <cellStyle name="Accent3 14" xfId="317"/>
    <cellStyle name="Accent3 15" xfId="318"/>
    <cellStyle name="Accent3 16" xfId="319"/>
    <cellStyle name="Accent3 2" xfId="320"/>
    <cellStyle name="Accent3 3" xfId="321"/>
    <cellStyle name="Accent3 4" xfId="322"/>
    <cellStyle name="Accent3 5" xfId="323"/>
    <cellStyle name="Accent3 6" xfId="324"/>
    <cellStyle name="Accent3 7" xfId="325"/>
    <cellStyle name="Accent3 8" xfId="326"/>
    <cellStyle name="Accent3 9" xfId="327"/>
    <cellStyle name="Accent4 10" xfId="328"/>
    <cellStyle name="Accent4 11" xfId="329"/>
    <cellStyle name="Accent4 12" xfId="330"/>
    <cellStyle name="Accent4 13" xfId="331"/>
    <cellStyle name="Accent4 14" xfId="332"/>
    <cellStyle name="Accent4 15" xfId="333"/>
    <cellStyle name="Accent4 16" xfId="334"/>
    <cellStyle name="Accent4 2" xfId="335"/>
    <cellStyle name="Accent4 3" xfId="336"/>
    <cellStyle name="Accent4 4" xfId="337"/>
    <cellStyle name="Accent4 5" xfId="338"/>
    <cellStyle name="Accent4 6" xfId="339"/>
    <cellStyle name="Accent4 7" xfId="340"/>
    <cellStyle name="Accent4 8" xfId="341"/>
    <cellStyle name="Accent4 9" xfId="342"/>
    <cellStyle name="Accent5 10" xfId="343"/>
    <cellStyle name="Accent5 11" xfId="344"/>
    <cellStyle name="Accent5 12" xfId="345"/>
    <cellStyle name="Accent5 13" xfId="346"/>
    <cellStyle name="Accent5 14" xfId="347"/>
    <cellStyle name="Accent5 15" xfId="348"/>
    <cellStyle name="Accent5 16" xfId="349"/>
    <cellStyle name="Accent5 2" xfId="350"/>
    <cellStyle name="Accent5 3" xfId="351"/>
    <cellStyle name="Accent5 4" xfId="352"/>
    <cellStyle name="Accent5 5" xfId="353"/>
    <cellStyle name="Accent5 6" xfId="354"/>
    <cellStyle name="Accent5 7" xfId="355"/>
    <cellStyle name="Accent5 8" xfId="356"/>
    <cellStyle name="Accent5 9" xfId="357"/>
    <cellStyle name="Accent6 10" xfId="358"/>
    <cellStyle name="Accent6 11" xfId="359"/>
    <cellStyle name="Accent6 12" xfId="360"/>
    <cellStyle name="Accent6 13" xfId="361"/>
    <cellStyle name="Accent6 14" xfId="362"/>
    <cellStyle name="Accent6 15" xfId="363"/>
    <cellStyle name="Accent6 16" xfId="364"/>
    <cellStyle name="Accent6 2" xfId="365"/>
    <cellStyle name="Accent6 3" xfId="366"/>
    <cellStyle name="Accent6 4" xfId="367"/>
    <cellStyle name="Accent6 5" xfId="368"/>
    <cellStyle name="Accent6 6" xfId="369"/>
    <cellStyle name="Accent6 7" xfId="370"/>
    <cellStyle name="Accent6 8" xfId="371"/>
    <cellStyle name="Accent6 9" xfId="372"/>
    <cellStyle name="Bad 10" xfId="373"/>
    <cellStyle name="Bad 11" xfId="374"/>
    <cellStyle name="Bad 12" xfId="375"/>
    <cellStyle name="Bad 13" xfId="376"/>
    <cellStyle name="Bad 14" xfId="377"/>
    <cellStyle name="Bad 15" xfId="378"/>
    <cellStyle name="Bad 16" xfId="379"/>
    <cellStyle name="Bad 2" xfId="380"/>
    <cellStyle name="Bad 3" xfId="381"/>
    <cellStyle name="Bad 4" xfId="382"/>
    <cellStyle name="Bad 5" xfId="383"/>
    <cellStyle name="Bad 6" xfId="384"/>
    <cellStyle name="Bad 7" xfId="385"/>
    <cellStyle name="Bad 8" xfId="386"/>
    <cellStyle name="Bad 9" xfId="387"/>
    <cellStyle name="Calculation 10" xfId="388"/>
    <cellStyle name="Calculation 11" xfId="389"/>
    <cellStyle name="Calculation 12" xfId="390"/>
    <cellStyle name="Calculation 13" xfId="391"/>
    <cellStyle name="Calculation 14" xfId="392"/>
    <cellStyle name="Calculation 15" xfId="393"/>
    <cellStyle name="Calculation 16" xfId="394"/>
    <cellStyle name="Calculation 2" xfId="395"/>
    <cellStyle name="Calculation 3" xfId="396"/>
    <cellStyle name="Calculation 4" xfId="397"/>
    <cellStyle name="Calculation 5" xfId="398"/>
    <cellStyle name="Calculation 6" xfId="399"/>
    <cellStyle name="Calculation 7" xfId="400"/>
    <cellStyle name="Calculation 8" xfId="401"/>
    <cellStyle name="Calculation 9" xfId="402"/>
    <cellStyle name="Check Cell 10" xfId="403"/>
    <cellStyle name="Check Cell 11" xfId="404"/>
    <cellStyle name="Check Cell 12" xfId="405"/>
    <cellStyle name="Check Cell 13" xfId="406"/>
    <cellStyle name="Check Cell 14" xfId="407"/>
    <cellStyle name="Check Cell 15" xfId="408"/>
    <cellStyle name="Check Cell 16" xfId="409"/>
    <cellStyle name="Check Cell 2" xfId="410"/>
    <cellStyle name="Check Cell 3" xfId="411"/>
    <cellStyle name="Check Cell 4" xfId="412"/>
    <cellStyle name="Check Cell 5" xfId="413"/>
    <cellStyle name="Check Cell 6" xfId="414"/>
    <cellStyle name="Check Cell 7" xfId="415"/>
    <cellStyle name="Check Cell 8" xfId="416"/>
    <cellStyle name="Check Cell 9" xfId="417"/>
    <cellStyle name="Comma" xfId="3" builtinId="3"/>
    <cellStyle name="Comma 2" xfId="1"/>
    <cellStyle name="Comma 2 10" xfId="418"/>
    <cellStyle name="Comma 2 11" xfId="419"/>
    <cellStyle name="Comma 2 12" xfId="420"/>
    <cellStyle name="Comma 2 13" xfId="421"/>
    <cellStyle name="Comma 2 14" xfId="422"/>
    <cellStyle name="Comma 2 2" xfId="423"/>
    <cellStyle name="Comma 2 3" xfId="424"/>
    <cellStyle name="Comma 2 4" xfId="425"/>
    <cellStyle name="Comma 2 5" xfId="426"/>
    <cellStyle name="Comma 2 6" xfId="427"/>
    <cellStyle name="Comma 2 7" xfId="428"/>
    <cellStyle name="Comma 2 8" xfId="429"/>
    <cellStyle name="Comma 2 9" xfId="430"/>
    <cellStyle name="Comma 3" xfId="431"/>
    <cellStyle name="Comma 4" xfId="432"/>
    <cellStyle name="Comma 5" xfId="433"/>
    <cellStyle name="Comma 6" xfId="9"/>
    <cellStyle name="Comma 7" xfId="843"/>
    <cellStyle name="Comma0" xfId="434"/>
    <cellStyle name="Currency" xfId="4" builtinId="4"/>
    <cellStyle name="Currency 2" xfId="6"/>
    <cellStyle name="Currency 3" xfId="435"/>
    <cellStyle name="Currency 4" xfId="436"/>
    <cellStyle name="Currency 5" xfId="846"/>
    <cellStyle name="Currency0" xfId="437"/>
    <cellStyle name="Date" xfId="438"/>
    <cellStyle name="Euro" xfId="439"/>
    <cellStyle name="Explanatory Text 10" xfId="440"/>
    <cellStyle name="Explanatory Text 11" xfId="441"/>
    <cellStyle name="Explanatory Text 12" xfId="442"/>
    <cellStyle name="Explanatory Text 13" xfId="443"/>
    <cellStyle name="Explanatory Text 14" xfId="444"/>
    <cellStyle name="Explanatory Text 15" xfId="445"/>
    <cellStyle name="Explanatory Text 16" xfId="446"/>
    <cellStyle name="Explanatory Text 2" xfId="447"/>
    <cellStyle name="Explanatory Text 3" xfId="448"/>
    <cellStyle name="Explanatory Text 4" xfId="449"/>
    <cellStyle name="Explanatory Text 5" xfId="450"/>
    <cellStyle name="Explanatory Text 6" xfId="451"/>
    <cellStyle name="Explanatory Text 7" xfId="452"/>
    <cellStyle name="Explanatory Text 8" xfId="453"/>
    <cellStyle name="Explanatory Text 9" xfId="454"/>
    <cellStyle name="F2" xfId="455"/>
    <cellStyle name="F2 2" xfId="456"/>
    <cellStyle name="F2 3" xfId="457"/>
    <cellStyle name="F2 4" xfId="458"/>
    <cellStyle name="F2 5" xfId="459"/>
    <cellStyle name="F2 6" xfId="460"/>
    <cellStyle name="F2 7" xfId="461"/>
    <cellStyle name="F2 8" xfId="462"/>
    <cellStyle name="F2 9" xfId="463"/>
    <cellStyle name="F2_Regenerated Revenues LGE Gas 2008-04 with Elec Gen-Seelye final version " xfId="464"/>
    <cellStyle name="F3" xfId="465"/>
    <cellStyle name="F3 2" xfId="466"/>
    <cellStyle name="F3 3" xfId="467"/>
    <cellStyle name="F3 4" xfId="468"/>
    <cellStyle name="F3 5" xfId="469"/>
    <cellStyle name="F3 6" xfId="470"/>
    <cellStyle name="F3 7" xfId="471"/>
    <cellStyle name="F3 8" xfId="472"/>
    <cellStyle name="F3 9" xfId="473"/>
    <cellStyle name="F3_Regenerated Revenues LGE Gas 2008-04 with Elec Gen-Seelye final version " xfId="474"/>
    <cellStyle name="F4" xfId="475"/>
    <cellStyle name="F4 2" xfId="476"/>
    <cellStyle name="F4 3" xfId="477"/>
    <cellStyle name="F4 4" xfId="478"/>
    <cellStyle name="F4 5" xfId="479"/>
    <cellStyle name="F4 6" xfId="480"/>
    <cellStyle name="F4 7" xfId="481"/>
    <cellStyle name="F4 8" xfId="482"/>
    <cellStyle name="F4 9" xfId="483"/>
    <cellStyle name="F4_Regenerated Revenues LGE Gas 2008-04 with Elec Gen-Seelye final version " xfId="484"/>
    <cellStyle name="F5" xfId="485"/>
    <cellStyle name="F5 2" xfId="486"/>
    <cellStyle name="F5 3" xfId="487"/>
    <cellStyle name="F5 4" xfId="488"/>
    <cellStyle name="F5 5" xfId="489"/>
    <cellStyle name="F5 6" xfId="490"/>
    <cellStyle name="F5 7" xfId="491"/>
    <cellStyle name="F5 8" xfId="492"/>
    <cellStyle name="F5 9" xfId="493"/>
    <cellStyle name="F5_Regenerated Revenues LGE Gas 2008-04 with Elec Gen-Seelye final version " xfId="494"/>
    <cellStyle name="F6" xfId="495"/>
    <cellStyle name="F6 2" xfId="496"/>
    <cellStyle name="F6 3" xfId="497"/>
    <cellStyle name="F6 4" xfId="498"/>
    <cellStyle name="F6 5" xfId="499"/>
    <cellStyle name="F6 6" xfId="500"/>
    <cellStyle name="F6 7" xfId="501"/>
    <cellStyle name="F6 8" xfId="502"/>
    <cellStyle name="F6 9" xfId="503"/>
    <cellStyle name="F6_Regenerated Revenues LGE Gas 2008-04 with Elec Gen-Seelye final version " xfId="504"/>
    <cellStyle name="F7" xfId="505"/>
    <cellStyle name="F7 2" xfId="506"/>
    <cellStyle name="F7 3" xfId="507"/>
    <cellStyle name="F7 4" xfId="508"/>
    <cellStyle name="F7 5" xfId="509"/>
    <cellStyle name="F7 6" xfId="510"/>
    <cellStyle name="F7 7" xfId="511"/>
    <cellStyle name="F7 8" xfId="512"/>
    <cellStyle name="F7 9" xfId="513"/>
    <cellStyle name="F7_Regenerated Revenues LGE Gas 2008-04 with Elec Gen-Seelye final version " xfId="514"/>
    <cellStyle name="F8" xfId="515"/>
    <cellStyle name="F8 2" xfId="516"/>
    <cellStyle name="F8 3" xfId="517"/>
    <cellStyle name="F8 4" xfId="518"/>
    <cellStyle name="F8 5" xfId="519"/>
    <cellStyle name="F8 6" xfId="520"/>
    <cellStyle name="F8 7" xfId="521"/>
    <cellStyle name="F8 8" xfId="522"/>
    <cellStyle name="F8 9" xfId="523"/>
    <cellStyle name="F8_Regenerated Revenues LGE Gas 2008-04 with Elec Gen-Seelye final version " xfId="524"/>
    <cellStyle name="Fixed" xfId="525"/>
    <cellStyle name="Good 10" xfId="526"/>
    <cellStyle name="Good 11" xfId="527"/>
    <cellStyle name="Good 12" xfId="528"/>
    <cellStyle name="Good 13" xfId="529"/>
    <cellStyle name="Good 14" xfId="530"/>
    <cellStyle name="Good 15" xfId="531"/>
    <cellStyle name="Good 16" xfId="532"/>
    <cellStyle name="Good 2" xfId="533"/>
    <cellStyle name="Good 3" xfId="534"/>
    <cellStyle name="Good 4" xfId="535"/>
    <cellStyle name="Good 5" xfId="536"/>
    <cellStyle name="Good 6" xfId="537"/>
    <cellStyle name="Good 7" xfId="538"/>
    <cellStyle name="Good 8" xfId="539"/>
    <cellStyle name="Good 9" xfId="540"/>
    <cellStyle name="Heading 1 10" xfId="541"/>
    <cellStyle name="Heading 1 11" xfId="542"/>
    <cellStyle name="Heading 1 12" xfId="543"/>
    <cellStyle name="Heading 1 13" xfId="544"/>
    <cellStyle name="Heading 1 14" xfId="545"/>
    <cellStyle name="Heading 1 15" xfId="546"/>
    <cellStyle name="Heading 1 16" xfId="547"/>
    <cellStyle name="Heading 1 2" xfId="548"/>
    <cellStyle name="Heading 1 3" xfId="549"/>
    <cellStyle name="Heading 1 4" xfId="550"/>
    <cellStyle name="Heading 1 5" xfId="551"/>
    <cellStyle name="Heading 1 6" xfId="552"/>
    <cellStyle name="Heading 1 7" xfId="553"/>
    <cellStyle name="Heading 1 8" xfId="554"/>
    <cellStyle name="Heading 1 9" xfId="555"/>
    <cellStyle name="Heading 2 10" xfId="556"/>
    <cellStyle name="Heading 2 11" xfId="557"/>
    <cellStyle name="Heading 2 12" xfId="558"/>
    <cellStyle name="Heading 2 13" xfId="559"/>
    <cellStyle name="Heading 2 14" xfId="560"/>
    <cellStyle name="Heading 2 15" xfId="561"/>
    <cellStyle name="Heading 2 16" xfId="562"/>
    <cellStyle name="Heading 2 2" xfId="563"/>
    <cellStyle name="Heading 2 3" xfId="564"/>
    <cellStyle name="Heading 2 4" xfId="565"/>
    <cellStyle name="Heading 2 5" xfId="566"/>
    <cellStyle name="Heading 2 6" xfId="567"/>
    <cellStyle name="Heading 2 7" xfId="568"/>
    <cellStyle name="Heading 2 8" xfId="569"/>
    <cellStyle name="Heading 2 9" xfId="570"/>
    <cellStyle name="Heading 3 10" xfId="571"/>
    <cellStyle name="Heading 3 11" xfId="572"/>
    <cellStyle name="Heading 3 12" xfId="573"/>
    <cellStyle name="Heading 3 13" xfId="574"/>
    <cellStyle name="Heading 3 14" xfId="575"/>
    <cellStyle name="Heading 3 15" xfId="576"/>
    <cellStyle name="Heading 3 16" xfId="577"/>
    <cellStyle name="Heading 3 2" xfId="578"/>
    <cellStyle name="Heading 3 3" xfId="579"/>
    <cellStyle name="Heading 3 4" xfId="580"/>
    <cellStyle name="Heading 3 5" xfId="581"/>
    <cellStyle name="Heading 3 6" xfId="582"/>
    <cellStyle name="Heading 3 7" xfId="583"/>
    <cellStyle name="Heading 3 8" xfId="584"/>
    <cellStyle name="Heading 3 9" xfId="585"/>
    <cellStyle name="Heading 4 10" xfId="586"/>
    <cellStyle name="Heading 4 11" xfId="587"/>
    <cellStyle name="Heading 4 12" xfId="588"/>
    <cellStyle name="Heading 4 13" xfId="589"/>
    <cellStyle name="Heading 4 14" xfId="590"/>
    <cellStyle name="Heading 4 15" xfId="591"/>
    <cellStyle name="Heading 4 16" xfId="592"/>
    <cellStyle name="Heading 4 2" xfId="593"/>
    <cellStyle name="Heading 4 3" xfId="594"/>
    <cellStyle name="Heading 4 4" xfId="595"/>
    <cellStyle name="Heading 4 5" xfId="596"/>
    <cellStyle name="Heading 4 6" xfId="597"/>
    <cellStyle name="Heading 4 7" xfId="598"/>
    <cellStyle name="Heading 4 8" xfId="599"/>
    <cellStyle name="Heading 4 9" xfId="600"/>
    <cellStyle name="Input 10" xfId="601"/>
    <cellStyle name="Input 11" xfId="602"/>
    <cellStyle name="Input 12" xfId="603"/>
    <cellStyle name="Input 13" xfId="604"/>
    <cellStyle name="Input 14" xfId="605"/>
    <cellStyle name="Input 15" xfId="606"/>
    <cellStyle name="Input 16" xfId="607"/>
    <cellStyle name="Input 2" xfId="608"/>
    <cellStyle name="Input 3" xfId="609"/>
    <cellStyle name="Input 4" xfId="610"/>
    <cellStyle name="Input 5" xfId="611"/>
    <cellStyle name="Input 6" xfId="612"/>
    <cellStyle name="Input 7" xfId="613"/>
    <cellStyle name="Input 8" xfId="614"/>
    <cellStyle name="Input 9" xfId="615"/>
    <cellStyle name="Linked Cell 10" xfId="616"/>
    <cellStyle name="Linked Cell 11" xfId="617"/>
    <cellStyle name="Linked Cell 12" xfId="618"/>
    <cellStyle name="Linked Cell 13" xfId="619"/>
    <cellStyle name="Linked Cell 14" xfId="620"/>
    <cellStyle name="Linked Cell 15" xfId="621"/>
    <cellStyle name="Linked Cell 16" xfId="622"/>
    <cellStyle name="Linked Cell 2" xfId="623"/>
    <cellStyle name="Linked Cell 3" xfId="624"/>
    <cellStyle name="Linked Cell 4" xfId="625"/>
    <cellStyle name="Linked Cell 5" xfId="626"/>
    <cellStyle name="Linked Cell 6" xfId="627"/>
    <cellStyle name="Linked Cell 7" xfId="628"/>
    <cellStyle name="Linked Cell 8" xfId="629"/>
    <cellStyle name="Linked Cell 9" xfId="630"/>
    <cellStyle name="Neutral 10" xfId="631"/>
    <cellStyle name="Neutral 11" xfId="632"/>
    <cellStyle name="Neutral 12" xfId="633"/>
    <cellStyle name="Neutral 13" xfId="634"/>
    <cellStyle name="Neutral 14" xfId="635"/>
    <cellStyle name="Neutral 15" xfId="636"/>
    <cellStyle name="Neutral 16" xfId="637"/>
    <cellStyle name="Neutral 2" xfId="638"/>
    <cellStyle name="Neutral 3" xfId="639"/>
    <cellStyle name="Neutral 4" xfId="640"/>
    <cellStyle name="Neutral 5" xfId="641"/>
    <cellStyle name="Neutral 6" xfId="642"/>
    <cellStyle name="Neutral 7" xfId="643"/>
    <cellStyle name="Neutral 8" xfId="644"/>
    <cellStyle name="Neutral 9" xfId="645"/>
    <cellStyle name="Normal" xfId="0" builtinId="0"/>
    <cellStyle name="Normal 10" xfId="646"/>
    <cellStyle name="Normal 11" xfId="647"/>
    <cellStyle name="Normal 12" xfId="648"/>
    <cellStyle name="Normal 13" xfId="649"/>
    <cellStyle name="Normal 14" xfId="12"/>
    <cellStyle name="Normal 15" xfId="650"/>
    <cellStyle name="Normal 16" xfId="651"/>
    <cellStyle name="Normal 17" xfId="652"/>
    <cellStyle name="Normal 18" xfId="653"/>
    <cellStyle name="Normal 19" xfId="654"/>
    <cellStyle name="Normal 2" xfId="5"/>
    <cellStyle name="Normal 2 10" xfId="655"/>
    <cellStyle name="Normal 2 11" xfId="656"/>
    <cellStyle name="Normal 2 12" xfId="657"/>
    <cellStyle name="Normal 2 13" xfId="658"/>
    <cellStyle name="Normal 2 14" xfId="659"/>
    <cellStyle name="Normal 2 15" xfId="660"/>
    <cellStyle name="Normal 2 16" xfId="661"/>
    <cellStyle name="Normal 2 19" xfId="848"/>
    <cellStyle name="Normal 2 2" xfId="662"/>
    <cellStyle name="Normal 2 3" xfId="663"/>
    <cellStyle name="Normal 2 4" xfId="664"/>
    <cellStyle name="Normal 2 5" xfId="665"/>
    <cellStyle name="Normal 2 6" xfId="666"/>
    <cellStyle name="Normal 2 7" xfId="667"/>
    <cellStyle name="Normal 2 8" xfId="668"/>
    <cellStyle name="Normal 2 9" xfId="669"/>
    <cellStyle name="Normal 2_LGEElecBillingDeterminants2009-10" xfId="670"/>
    <cellStyle name="Normal 20" xfId="671"/>
    <cellStyle name="Normal 21" xfId="672"/>
    <cellStyle name="Normal 22" xfId="673"/>
    <cellStyle name="Normal 23" xfId="674"/>
    <cellStyle name="Normal 3" xfId="2"/>
    <cellStyle name="Normal 3 10" xfId="675"/>
    <cellStyle name="Normal 3 11" xfId="676"/>
    <cellStyle name="Normal 3 12" xfId="677"/>
    <cellStyle name="Normal 3 13" xfId="678"/>
    <cellStyle name="Normal 3 14" xfId="679"/>
    <cellStyle name="Normal 3 15" xfId="680"/>
    <cellStyle name="Normal 3 16" xfId="681"/>
    <cellStyle name="Normal 3 17" xfId="845"/>
    <cellStyle name="Normal 3 2" xfId="682"/>
    <cellStyle name="Normal 3 3" xfId="683"/>
    <cellStyle name="Normal 3 4" xfId="684"/>
    <cellStyle name="Normal 3 5" xfId="685"/>
    <cellStyle name="Normal 3 6" xfId="686"/>
    <cellStyle name="Normal 3 7" xfId="687"/>
    <cellStyle name="Normal 3 8" xfId="688"/>
    <cellStyle name="Normal 3 9" xfId="689"/>
    <cellStyle name="Normal 3_LGEElecBillingDeterminants2009-10" xfId="690"/>
    <cellStyle name="Normal 4" xfId="7"/>
    <cellStyle name="Normal 4 2" xfId="691"/>
    <cellStyle name="Normal 4 3" xfId="692"/>
    <cellStyle name="Normal 4_Regenerated Revenues LGE Gas 10312009" xfId="693"/>
    <cellStyle name="Normal 5" xfId="11"/>
    <cellStyle name="Normal 5 2" xfId="694"/>
    <cellStyle name="Normal 5 3" xfId="695"/>
    <cellStyle name="Normal 6" xfId="696"/>
    <cellStyle name="Normal 6 2" xfId="697"/>
    <cellStyle name="Normal 6 3" xfId="698"/>
    <cellStyle name="Normal 7" xfId="699"/>
    <cellStyle name="Normal 7 2" xfId="700"/>
    <cellStyle name="Normal 7 3" xfId="701"/>
    <cellStyle name="Normal 8" xfId="702"/>
    <cellStyle name="Normal 8 2" xfId="703"/>
    <cellStyle name="Normal 8 3" xfId="704"/>
    <cellStyle name="Normal 9" xfId="705"/>
    <cellStyle name="Normal 9 2" xfId="706"/>
    <cellStyle name="Normal 9 3" xfId="707"/>
    <cellStyle name="Normal_LGE Filed Test Period Billing Exhibits - SBR Summary" xfId="847"/>
    <cellStyle name="Normal_Regenerated Revenues LGE Gas 2008-04 with Elec Gen-Seelye final version " xfId="844"/>
    <cellStyle name="Note 10" xfId="708"/>
    <cellStyle name="Note 11" xfId="709"/>
    <cellStyle name="Note 12" xfId="710"/>
    <cellStyle name="Note 13" xfId="711"/>
    <cellStyle name="Note 14" xfId="712"/>
    <cellStyle name="Note 2" xfId="713"/>
    <cellStyle name="Note 2 2" xfId="714"/>
    <cellStyle name="Note 2 3" xfId="715"/>
    <cellStyle name="Note 3" xfId="716"/>
    <cellStyle name="Note 3 2" xfId="717"/>
    <cellStyle name="Note 3 3" xfId="718"/>
    <cellStyle name="Note 4" xfId="719"/>
    <cellStyle name="Note 4 2" xfId="720"/>
    <cellStyle name="Note 4 3" xfId="721"/>
    <cellStyle name="Note 5" xfId="722"/>
    <cellStyle name="Note 5 2" xfId="723"/>
    <cellStyle name="Note 5 3" xfId="724"/>
    <cellStyle name="Note 6" xfId="725"/>
    <cellStyle name="Note 6 2" xfId="726"/>
    <cellStyle name="Note 6 3" xfId="727"/>
    <cellStyle name="Note 7" xfId="728"/>
    <cellStyle name="Note 7 2" xfId="729"/>
    <cellStyle name="Note 7 3" xfId="730"/>
    <cellStyle name="Note 8" xfId="731"/>
    <cellStyle name="Note 8 2" xfId="732"/>
    <cellStyle name="Note 8 3" xfId="733"/>
    <cellStyle name="Note 9" xfId="734"/>
    <cellStyle name="Output 10" xfId="735"/>
    <cellStyle name="Output 11" xfId="736"/>
    <cellStyle name="Output 12" xfId="737"/>
    <cellStyle name="Output 13" xfId="738"/>
    <cellStyle name="Output 14" xfId="739"/>
    <cellStyle name="Output 15" xfId="740"/>
    <cellStyle name="Output 16" xfId="741"/>
    <cellStyle name="Output 2" xfId="742"/>
    <cellStyle name="Output 3" xfId="743"/>
    <cellStyle name="Output 4" xfId="744"/>
    <cellStyle name="Output 5" xfId="745"/>
    <cellStyle name="Output 6" xfId="746"/>
    <cellStyle name="Output 7" xfId="747"/>
    <cellStyle name="Output 8" xfId="748"/>
    <cellStyle name="Output 9" xfId="749"/>
    <cellStyle name="Output Amounts" xfId="750"/>
    <cellStyle name="Output Column Headings" xfId="751"/>
    <cellStyle name="Output Column Headings 2" xfId="752"/>
    <cellStyle name="Output Column Headings 3" xfId="753"/>
    <cellStyle name="Output Column Headings 4" xfId="754"/>
    <cellStyle name="Output Column Headings 5" xfId="755"/>
    <cellStyle name="Output Column Headings 6" xfId="756"/>
    <cellStyle name="Output Column Headings 7" xfId="757"/>
    <cellStyle name="Output Column Headings 8" xfId="758"/>
    <cellStyle name="Output Column Headings 9" xfId="759"/>
    <cellStyle name="Output Column Headings_Regenerated Revenues LGE Gas 2008-04 with Elec Gen-Seelye final version " xfId="760"/>
    <cellStyle name="Output Line Items" xfId="761"/>
    <cellStyle name="Output Line Items 2" xfId="762"/>
    <cellStyle name="Output Line Items 3" xfId="763"/>
    <cellStyle name="Output Line Items 4" xfId="764"/>
    <cellStyle name="Output Line Items 5" xfId="765"/>
    <cellStyle name="Output Line Items 6" xfId="766"/>
    <cellStyle name="Output Line Items 7" xfId="767"/>
    <cellStyle name="Output Line Items 8" xfId="768"/>
    <cellStyle name="Output Line Items 9" xfId="769"/>
    <cellStyle name="Output Line Items_Regenerated Revenues LGE Gas 2008-04 with Elec Gen-Seelye final version " xfId="770"/>
    <cellStyle name="Output Report Heading" xfId="771"/>
    <cellStyle name="Output Report Heading 2" xfId="772"/>
    <cellStyle name="Output Report Heading 3" xfId="773"/>
    <cellStyle name="Output Report Heading 4" xfId="774"/>
    <cellStyle name="Output Report Heading 5" xfId="775"/>
    <cellStyle name="Output Report Heading 6" xfId="776"/>
    <cellStyle name="Output Report Heading 7" xfId="777"/>
    <cellStyle name="Output Report Heading 8" xfId="778"/>
    <cellStyle name="Output Report Heading 9" xfId="779"/>
    <cellStyle name="Output Report Heading_Regenerated Revenues LGE Gas 2008-04 with Elec Gen-Seelye final version " xfId="780"/>
    <cellStyle name="Output Report Title" xfId="781"/>
    <cellStyle name="Output Report Title 2" xfId="782"/>
    <cellStyle name="Output Report Title 3" xfId="783"/>
    <cellStyle name="Output Report Title 4" xfId="784"/>
    <cellStyle name="Output Report Title 5" xfId="785"/>
    <cellStyle name="Output Report Title 6" xfId="786"/>
    <cellStyle name="Output Report Title 7" xfId="787"/>
    <cellStyle name="Output Report Title 8" xfId="788"/>
    <cellStyle name="Output Report Title 9" xfId="789"/>
    <cellStyle name="Output Report Title_Regenerated Revenues LGE Gas 2008-04 with Elec Gen-Seelye final version " xfId="790"/>
    <cellStyle name="Percent" xfId="10" builtinId="5"/>
    <cellStyle name="Percent 2" xfId="8"/>
    <cellStyle name="Percent 3" xfId="791"/>
    <cellStyle name="STYL5 - Style5" xfId="792"/>
    <cellStyle name="STYL6 - Style6" xfId="793"/>
    <cellStyle name="STYLE1 - Style1" xfId="794"/>
    <cellStyle name="STYLE2 - Style2" xfId="795"/>
    <cellStyle name="STYLE3 - Style3" xfId="796"/>
    <cellStyle name="STYLE4 - Style4" xfId="797"/>
    <cellStyle name="Title 10" xfId="798"/>
    <cellStyle name="Title 11" xfId="799"/>
    <cellStyle name="Title 12" xfId="800"/>
    <cellStyle name="Title 13" xfId="801"/>
    <cellStyle name="Title 14" xfId="802"/>
    <cellStyle name="Title 15" xfId="803"/>
    <cellStyle name="Title 16" xfId="804"/>
    <cellStyle name="Title 2" xfId="805"/>
    <cellStyle name="Title 3" xfId="806"/>
    <cellStyle name="Title 4" xfId="807"/>
    <cellStyle name="Title 5" xfId="808"/>
    <cellStyle name="Title 6" xfId="809"/>
    <cellStyle name="Title 7" xfId="810"/>
    <cellStyle name="Title 8" xfId="811"/>
    <cellStyle name="Title 9" xfId="812"/>
    <cellStyle name="Total 10" xfId="813"/>
    <cellStyle name="Total 11" xfId="814"/>
    <cellStyle name="Total 12" xfId="815"/>
    <cellStyle name="Total 13" xfId="816"/>
    <cellStyle name="Total 14" xfId="817"/>
    <cellStyle name="Total 15" xfId="818"/>
    <cellStyle name="Total 16" xfId="819"/>
    <cellStyle name="Total 2" xfId="820"/>
    <cellStyle name="Total 3" xfId="821"/>
    <cellStyle name="Total 4" xfId="822"/>
    <cellStyle name="Total 5" xfId="823"/>
    <cellStyle name="Total 6" xfId="824"/>
    <cellStyle name="Total 7" xfId="825"/>
    <cellStyle name="Total 8" xfId="826"/>
    <cellStyle name="Total 9" xfId="827"/>
    <cellStyle name="Warning Text 10" xfId="828"/>
    <cellStyle name="Warning Text 11" xfId="829"/>
    <cellStyle name="Warning Text 12" xfId="830"/>
    <cellStyle name="Warning Text 13" xfId="831"/>
    <cellStyle name="Warning Text 14" xfId="832"/>
    <cellStyle name="Warning Text 15" xfId="833"/>
    <cellStyle name="Warning Text 16" xfId="834"/>
    <cellStyle name="Warning Text 2" xfId="835"/>
    <cellStyle name="Warning Text 3" xfId="836"/>
    <cellStyle name="Warning Text 4" xfId="837"/>
    <cellStyle name="Warning Text 5" xfId="838"/>
    <cellStyle name="Warning Text 6" xfId="839"/>
    <cellStyle name="Warning Text 7" xfId="840"/>
    <cellStyle name="Warning Text 8" xfId="841"/>
    <cellStyle name="Warning Text 9" xfId="842"/>
  </cellStyles>
  <dxfs count="21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  <color rgb="FFFFFF00"/>
      <color rgb="FFFFFFCC"/>
      <color rgb="FFCCFFCC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evenue%20Volume%20Analysis%20Reports\2016\Revenue%20Volume%20Analysis%202016-06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Home"/>
      <sheetName val="PVA"/>
      <sheetName val="RBC Summary"/>
      <sheetName val="RBC Detail"/>
      <sheetName val="Information for SEC Table"/>
      <sheetName val="A216810396964DCDB399904ED81BA8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Weather Summary"/>
      <sheetName val="Electronic Evidence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M29">
            <v>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499984740745262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 tint="0.39997558519241921"/>
    <pageSetUpPr fitToPage="1"/>
  </sheetPr>
  <dimension ref="A1:BF54"/>
  <sheetViews>
    <sheetView topLeftCell="A23" workbookViewId="0">
      <selection activeCell="H28" sqref="H28"/>
    </sheetView>
  </sheetViews>
  <sheetFormatPr defaultRowHeight="15" x14ac:dyDescent="0.25"/>
  <cols>
    <col min="1" max="1" width="45.140625" style="60" customWidth="1"/>
    <col min="2" max="2" width="13.28515625" style="60" customWidth="1"/>
    <col min="3" max="3" width="14.28515625" style="60" customWidth="1"/>
    <col min="4" max="4" width="15.28515625" style="60" customWidth="1"/>
    <col min="5" max="7" width="14.28515625" style="60" customWidth="1"/>
    <col min="8" max="8" width="43.5703125" style="60" customWidth="1"/>
    <col min="9" max="25" width="11.7109375" style="60" customWidth="1"/>
    <col min="26" max="26" width="12.85546875" style="60" customWidth="1"/>
    <col min="27" max="29" width="12.85546875" style="62" customWidth="1"/>
    <col min="30" max="30" width="12.42578125" style="62" customWidth="1"/>
    <col min="31" max="31" width="13" style="62" customWidth="1"/>
    <col min="32" max="32" width="11.7109375" style="62" customWidth="1"/>
    <col min="33" max="36" width="11.7109375" style="60" customWidth="1"/>
    <col min="37" max="37" width="14.28515625" style="60" customWidth="1"/>
    <col min="38" max="38" width="13.85546875" style="60" customWidth="1"/>
    <col min="39" max="42" width="13" style="63" customWidth="1"/>
    <col min="43" max="43" width="12.7109375" style="63" customWidth="1"/>
    <col min="44" max="44" width="11.7109375" style="63" customWidth="1"/>
    <col min="51" max="51" width="12.140625" style="60" bestFit="1" customWidth="1"/>
    <col min="53" max="53" width="11.7109375" customWidth="1"/>
    <col min="55" max="55" width="10.140625" bestFit="1" customWidth="1"/>
    <col min="56" max="56" width="12.42578125" bestFit="1" customWidth="1"/>
    <col min="59" max="261" width="9.140625" style="60"/>
    <col min="262" max="262" width="31" style="60" customWidth="1"/>
    <col min="263" max="263" width="13.28515625" style="60" customWidth="1"/>
    <col min="264" max="264" width="14.28515625" style="60" customWidth="1"/>
    <col min="265" max="265" width="15.28515625" style="60" customWidth="1"/>
    <col min="266" max="266" width="14.28515625" style="60" customWidth="1"/>
    <col min="267" max="267" width="18.140625" style="60" bestFit="1" customWidth="1"/>
    <col min="268" max="269" width="14.28515625" style="60" customWidth="1"/>
    <col min="270" max="270" width="42.5703125" style="60" customWidth="1"/>
    <col min="271" max="282" width="11.7109375" style="60" customWidth="1"/>
    <col min="283" max="285" width="12.85546875" style="60" bestFit="1" customWidth="1"/>
    <col min="286" max="286" width="12.42578125" style="60" bestFit="1" customWidth="1"/>
    <col min="287" max="287" width="13" style="60" customWidth="1"/>
    <col min="288" max="293" width="11.7109375" style="60" customWidth="1"/>
    <col min="294" max="294" width="12.85546875" style="60" bestFit="1" customWidth="1"/>
    <col min="295" max="298" width="13" style="60" customWidth="1"/>
    <col min="299" max="299" width="12.7109375" style="60" customWidth="1"/>
    <col min="300" max="304" width="11.7109375" style="60" customWidth="1"/>
    <col min="305" max="305" width="14.28515625" style="60" customWidth="1"/>
    <col min="306" max="306" width="11.7109375" style="60" customWidth="1"/>
    <col min="307" max="308" width="9.140625" style="60"/>
    <col min="309" max="309" width="11.7109375" style="60" customWidth="1"/>
    <col min="310" max="310" width="9.140625" style="60"/>
    <col min="311" max="311" width="9.42578125" style="60" bestFit="1" customWidth="1"/>
    <col min="312" max="312" width="11.5703125" style="60" bestFit="1" customWidth="1"/>
    <col min="313" max="517" width="9.140625" style="60"/>
    <col min="518" max="518" width="31" style="60" customWidth="1"/>
    <col min="519" max="519" width="13.28515625" style="60" customWidth="1"/>
    <col min="520" max="520" width="14.28515625" style="60" customWidth="1"/>
    <col min="521" max="521" width="15.28515625" style="60" customWidth="1"/>
    <col min="522" max="522" width="14.28515625" style="60" customWidth="1"/>
    <col min="523" max="523" width="18.140625" style="60" bestFit="1" customWidth="1"/>
    <col min="524" max="525" width="14.28515625" style="60" customWidth="1"/>
    <col min="526" max="526" width="42.5703125" style="60" customWidth="1"/>
    <col min="527" max="538" width="11.7109375" style="60" customWidth="1"/>
    <col min="539" max="541" width="12.85546875" style="60" bestFit="1" customWidth="1"/>
    <col min="542" max="542" width="12.42578125" style="60" bestFit="1" customWidth="1"/>
    <col min="543" max="543" width="13" style="60" customWidth="1"/>
    <col min="544" max="549" width="11.7109375" style="60" customWidth="1"/>
    <col min="550" max="550" width="12.85546875" style="60" bestFit="1" customWidth="1"/>
    <col min="551" max="554" width="13" style="60" customWidth="1"/>
    <col min="555" max="555" width="12.7109375" style="60" customWidth="1"/>
    <col min="556" max="560" width="11.7109375" style="60" customWidth="1"/>
    <col min="561" max="561" width="14.28515625" style="60" customWidth="1"/>
    <col min="562" max="562" width="11.7109375" style="60" customWidth="1"/>
    <col min="563" max="564" width="9.140625" style="60"/>
    <col min="565" max="565" width="11.7109375" style="60" customWidth="1"/>
    <col min="566" max="566" width="9.140625" style="60"/>
    <col min="567" max="567" width="9.42578125" style="60" bestFit="1" customWidth="1"/>
    <col min="568" max="568" width="11.5703125" style="60" bestFit="1" customWidth="1"/>
    <col min="569" max="773" width="9.140625" style="60"/>
    <col min="774" max="774" width="31" style="60" customWidth="1"/>
    <col min="775" max="775" width="13.28515625" style="60" customWidth="1"/>
    <col min="776" max="776" width="14.28515625" style="60" customWidth="1"/>
    <col min="777" max="777" width="15.28515625" style="60" customWidth="1"/>
    <col min="778" max="778" width="14.28515625" style="60" customWidth="1"/>
    <col min="779" max="779" width="18.140625" style="60" bestFit="1" customWidth="1"/>
    <col min="780" max="781" width="14.28515625" style="60" customWidth="1"/>
    <col min="782" max="782" width="42.5703125" style="60" customWidth="1"/>
    <col min="783" max="794" width="11.7109375" style="60" customWidth="1"/>
    <col min="795" max="797" width="12.85546875" style="60" bestFit="1" customWidth="1"/>
    <col min="798" max="798" width="12.42578125" style="60" bestFit="1" customWidth="1"/>
    <col min="799" max="799" width="13" style="60" customWidth="1"/>
    <col min="800" max="805" width="11.7109375" style="60" customWidth="1"/>
    <col min="806" max="806" width="12.85546875" style="60" bestFit="1" customWidth="1"/>
    <col min="807" max="810" width="13" style="60" customWidth="1"/>
    <col min="811" max="811" width="12.7109375" style="60" customWidth="1"/>
    <col min="812" max="816" width="11.7109375" style="60" customWidth="1"/>
    <col min="817" max="817" width="14.28515625" style="60" customWidth="1"/>
    <col min="818" max="818" width="11.7109375" style="60" customWidth="1"/>
    <col min="819" max="820" width="9.140625" style="60"/>
    <col min="821" max="821" width="11.7109375" style="60" customWidth="1"/>
    <col min="822" max="822" width="9.140625" style="60"/>
    <col min="823" max="823" width="9.42578125" style="60" bestFit="1" customWidth="1"/>
    <col min="824" max="824" width="11.5703125" style="60" bestFit="1" customWidth="1"/>
    <col min="825" max="1029" width="9.140625" style="60"/>
    <col min="1030" max="1030" width="31" style="60" customWidth="1"/>
    <col min="1031" max="1031" width="13.28515625" style="60" customWidth="1"/>
    <col min="1032" max="1032" width="14.28515625" style="60" customWidth="1"/>
    <col min="1033" max="1033" width="15.28515625" style="60" customWidth="1"/>
    <col min="1034" max="1034" width="14.28515625" style="60" customWidth="1"/>
    <col min="1035" max="1035" width="18.140625" style="60" bestFit="1" customWidth="1"/>
    <col min="1036" max="1037" width="14.28515625" style="60" customWidth="1"/>
    <col min="1038" max="1038" width="42.5703125" style="60" customWidth="1"/>
    <col min="1039" max="1050" width="11.7109375" style="60" customWidth="1"/>
    <col min="1051" max="1053" width="12.85546875" style="60" bestFit="1" customWidth="1"/>
    <col min="1054" max="1054" width="12.42578125" style="60" bestFit="1" customWidth="1"/>
    <col min="1055" max="1055" width="13" style="60" customWidth="1"/>
    <col min="1056" max="1061" width="11.7109375" style="60" customWidth="1"/>
    <col min="1062" max="1062" width="12.85546875" style="60" bestFit="1" customWidth="1"/>
    <col min="1063" max="1066" width="13" style="60" customWidth="1"/>
    <col min="1067" max="1067" width="12.7109375" style="60" customWidth="1"/>
    <col min="1068" max="1072" width="11.7109375" style="60" customWidth="1"/>
    <col min="1073" max="1073" width="14.28515625" style="60" customWidth="1"/>
    <col min="1074" max="1074" width="11.7109375" style="60" customWidth="1"/>
    <col min="1075" max="1076" width="9.140625" style="60"/>
    <col min="1077" max="1077" width="11.7109375" style="60" customWidth="1"/>
    <col min="1078" max="1078" width="9.140625" style="60"/>
    <col min="1079" max="1079" width="9.42578125" style="60" bestFit="1" customWidth="1"/>
    <col min="1080" max="1080" width="11.5703125" style="60" bestFit="1" customWidth="1"/>
    <col min="1081" max="1285" width="9.140625" style="60"/>
    <col min="1286" max="1286" width="31" style="60" customWidth="1"/>
    <col min="1287" max="1287" width="13.28515625" style="60" customWidth="1"/>
    <col min="1288" max="1288" width="14.28515625" style="60" customWidth="1"/>
    <col min="1289" max="1289" width="15.28515625" style="60" customWidth="1"/>
    <col min="1290" max="1290" width="14.28515625" style="60" customWidth="1"/>
    <col min="1291" max="1291" width="18.140625" style="60" bestFit="1" customWidth="1"/>
    <col min="1292" max="1293" width="14.28515625" style="60" customWidth="1"/>
    <col min="1294" max="1294" width="42.5703125" style="60" customWidth="1"/>
    <col min="1295" max="1306" width="11.7109375" style="60" customWidth="1"/>
    <col min="1307" max="1309" width="12.85546875" style="60" bestFit="1" customWidth="1"/>
    <col min="1310" max="1310" width="12.42578125" style="60" bestFit="1" customWidth="1"/>
    <col min="1311" max="1311" width="13" style="60" customWidth="1"/>
    <col min="1312" max="1317" width="11.7109375" style="60" customWidth="1"/>
    <col min="1318" max="1318" width="12.85546875" style="60" bestFit="1" customWidth="1"/>
    <col min="1319" max="1322" width="13" style="60" customWidth="1"/>
    <col min="1323" max="1323" width="12.7109375" style="60" customWidth="1"/>
    <col min="1324" max="1328" width="11.7109375" style="60" customWidth="1"/>
    <col min="1329" max="1329" width="14.28515625" style="60" customWidth="1"/>
    <col min="1330" max="1330" width="11.7109375" style="60" customWidth="1"/>
    <col min="1331" max="1332" width="9.140625" style="60"/>
    <col min="1333" max="1333" width="11.7109375" style="60" customWidth="1"/>
    <col min="1334" max="1334" width="9.140625" style="60"/>
    <col min="1335" max="1335" width="9.42578125" style="60" bestFit="1" customWidth="1"/>
    <col min="1336" max="1336" width="11.5703125" style="60" bestFit="1" customWidth="1"/>
    <col min="1337" max="1541" width="9.140625" style="60"/>
    <col min="1542" max="1542" width="31" style="60" customWidth="1"/>
    <col min="1543" max="1543" width="13.28515625" style="60" customWidth="1"/>
    <col min="1544" max="1544" width="14.28515625" style="60" customWidth="1"/>
    <col min="1545" max="1545" width="15.28515625" style="60" customWidth="1"/>
    <col min="1546" max="1546" width="14.28515625" style="60" customWidth="1"/>
    <col min="1547" max="1547" width="18.140625" style="60" bestFit="1" customWidth="1"/>
    <col min="1548" max="1549" width="14.28515625" style="60" customWidth="1"/>
    <col min="1550" max="1550" width="42.5703125" style="60" customWidth="1"/>
    <col min="1551" max="1562" width="11.7109375" style="60" customWidth="1"/>
    <col min="1563" max="1565" width="12.85546875" style="60" bestFit="1" customWidth="1"/>
    <col min="1566" max="1566" width="12.42578125" style="60" bestFit="1" customWidth="1"/>
    <col min="1567" max="1567" width="13" style="60" customWidth="1"/>
    <col min="1568" max="1573" width="11.7109375" style="60" customWidth="1"/>
    <col min="1574" max="1574" width="12.85546875" style="60" bestFit="1" customWidth="1"/>
    <col min="1575" max="1578" width="13" style="60" customWidth="1"/>
    <col min="1579" max="1579" width="12.7109375" style="60" customWidth="1"/>
    <col min="1580" max="1584" width="11.7109375" style="60" customWidth="1"/>
    <col min="1585" max="1585" width="14.28515625" style="60" customWidth="1"/>
    <col min="1586" max="1586" width="11.7109375" style="60" customWidth="1"/>
    <col min="1587" max="1588" width="9.140625" style="60"/>
    <col min="1589" max="1589" width="11.7109375" style="60" customWidth="1"/>
    <col min="1590" max="1590" width="9.140625" style="60"/>
    <col min="1591" max="1591" width="9.42578125" style="60" bestFit="1" customWidth="1"/>
    <col min="1592" max="1592" width="11.5703125" style="60" bestFit="1" customWidth="1"/>
    <col min="1593" max="1797" width="9.140625" style="60"/>
    <col min="1798" max="1798" width="31" style="60" customWidth="1"/>
    <col min="1799" max="1799" width="13.28515625" style="60" customWidth="1"/>
    <col min="1800" max="1800" width="14.28515625" style="60" customWidth="1"/>
    <col min="1801" max="1801" width="15.28515625" style="60" customWidth="1"/>
    <col min="1802" max="1802" width="14.28515625" style="60" customWidth="1"/>
    <col min="1803" max="1803" width="18.140625" style="60" bestFit="1" customWidth="1"/>
    <col min="1804" max="1805" width="14.28515625" style="60" customWidth="1"/>
    <col min="1806" max="1806" width="42.5703125" style="60" customWidth="1"/>
    <col min="1807" max="1818" width="11.7109375" style="60" customWidth="1"/>
    <col min="1819" max="1821" width="12.85546875" style="60" bestFit="1" customWidth="1"/>
    <col min="1822" max="1822" width="12.42578125" style="60" bestFit="1" customWidth="1"/>
    <col min="1823" max="1823" width="13" style="60" customWidth="1"/>
    <col min="1824" max="1829" width="11.7109375" style="60" customWidth="1"/>
    <col min="1830" max="1830" width="12.85546875" style="60" bestFit="1" customWidth="1"/>
    <col min="1831" max="1834" width="13" style="60" customWidth="1"/>
    <col min="1835" max="1835" width="12.7109375" style="60" customWidth="1"/>
    <col min="1836" max="1840" width="11.7109375" style="60" customWidth="1"/>
    <col min="1841" max="1841" width="14.28515625" style="60" customWidth="1"/>
    <col min="1842" max="1842" width="11.7109375" style="60" customWidth="1"/>
    <col min="1843" max="1844" width="9.140625" style="60"/>
    <col min="1845" max="1845" width="11.7109375" style="60" customWidth="1"/>
    <col min="1846" max="1846" width="9.140625" style="60"/>
    <col min="1847" max="1847" width="9.42578125" style="60" bestFit="1" customWidth="1"/>
    <col min="1848" max="1848" width="11.5703125" style="60" bestFit="1" customWidth="1"/>
    <col min="1849" max="2053" width="9.140625" style="60"/>
    <col min="2054" max="2054" width="31" style="60" customWidth="1"/>
    <col min="2055" max="2055" width="13.28515625" style="60" customWidth="1"/>
    <col min="2056" max="2056" width="14.28515625" style="60" customWidth="1"/>
    <col min="2057" max="2057" width="15.28515625" style="60" customWidth="1"/>
    <col min="2058" max="2058" width="14.28515625" style="60" customWidth="1"/>
    <col min="2059" max="2059" width="18.140625" style="60" bestFit="1" customWidth="1"/>
    <col min="2060" max="2061" width="14.28515625" style="60" customWidth="1"/>
    <col min="2062" max="2062" width="42.5703125" style="60" customWidth="1"/>
    <col min="2063" max="2074" width="11.7109375" style="60" customWidth="1"/>
    <col min="2075" max="2077" width="12.85546875" style="60" bestFit="1" customWidth="1"/>
    <col min="2078" max="2078" width="12.42578125" style="60" bestFit="1" customWidth="1"/>
    <col min="2079" max="2079" width="13" style="60" customWidth="1"/>
    <col min="2080" max="2085" width="11.7109375" style="60" customWidth="1"/>
    <col min="2086" max="2086" width="12.85546875" style="60" bestFit="1" customWidth="1"/>
    <col min="2087" max="2090" width="13" style="60" customWidth="1"/>
    <col min="2091" max="2091" width="12.7109375" style="60" customWidth="1"/>
    <col min="2092" max="2096" width="11.7109375" style="60" customWidth="1"/>
    <col min="2097" max="2097" width="14.28515625" style="60" customWidth="1"/>
    <col min="2098" max="2098" width="11.7109375" style="60" customWidth="1"/>
    <col min="2099" max="2100" width="9.140625" style="60"/>
    <col min="2101" max="2101" width="11.7109375" style="60" customWidth="1"/>
    <col min="2102" max="2102" width="9.140625" style="60"/>
    <col min="2103" max="2103" width="9.42578125" style="60" bestFit="1" customWidth="1"/>
    <col min="2104" max="2104" width="11.5703125" style="60" bestFit="1" customWidth="1"/>
    <col min="2105" max="2309" width="9.140625" style="60"/>
    <col min="2310" max="2310" width="31" style="60" customWidth="1"/>
    <col min="2311" max="2311" width="13.28515625" style="60" customWidth="1"/>
    <col min="2312" max="2312" width="14.28515625" style="60" customWidth="1"/>
    <col min="2313" max="2313" width="15.28515625" style="60" customWidth="1"/>
    <col min="2314" max="2314" width="14.28515625" style="60" customWidth="1"/>
    <col min="2315" max="2315" width="18.140625" style="60" bestFit="1" customWidth="1"/>
    <col min="2316" max="2317" width="14.28515625" style="60" customWidth="1"/>
    <col min="2318" max="2318" width="42.5703125" style="60" customWidth="1"/>
    <col min="2319" max="2330" width="11.7109375" style="60" customWidth="1"/>
    <col min="2331" max="2333" width="12.85546875" style="60" bestFit="1" customWidth="1"/>
    <col min="2334" max="2334" width="12.42578125" style="60" bestFit="1" customWidth="1"/>
    <col min="2335" max="2335" width="13" style="60" customWidth="1"/>
    <col min="2336" max="2341" width="11.7109375" style="60" customWidth="1"/>
    <col min="2342" max="2342" width="12.85546875" style="60" bestFit="1" customWidth="1"/>
    <col min="2343" max="2346" width="13" style="60" customWidth="1"/>
    <col min="2347" max="2347" width="12.7109375" style="60" customWidth="1"/>
    <col min="2348" max="2352" width="11.7109375" style="60" customWidth="1"/>
    <col min="2353" max="2353" width="14.28515625" style="60" customWidth="1"/>
    <col min="2354" max="2354" width="11.7109375" style="60" customWidth="1"/>
    <col min="2355" max="2356" width="9.140625" style="60"/>
    <col min="2357" max="2357" width="11.7109375" style="60" customWidth="1"/>
    <col min="2358" max="2358" width="9.140625" style="60"/>
    <col min="2359" max="2359" width="9.42578125" style="60" bestFit="1" customWidth="1"/>
    <col min="2360" max="2360" width="11.5703125" style="60" bestFit="1" customWidth="1"/>
    <col min="2361" max="2565" width="9.140625" style="60"/>
    <col min="2566" max="2566" width="31" style="60" customWidth="1"/>
    <col min="2567" max="2567" width="13.28515625" style="60" customWidth="1"/>
    <col min="2568" max="2568" width="14.28515625" style="60" customWidth="1"/>
    <col min="2569" max="2569" width="15.28515625" style="60" customWidth="1"/>
    <col min="2570" max="2570" width="14.28515625" style="60" customWidth="1"/>
    <col min="2571" max="2571" width="18.140625" style="60" bestFit="1" customWidth="1"/>
    <col min="2572" max="2573" width="14.28515625" style="60" customWidth="1"/>
    <col min="2574" max="2574" width="42.5703125" style="60" customWidth="1"/>
    <col min="2575" max="2586" width="11.7109375" style="60" customWidth="1"/>
    <col min="2587" max="2589" width="12.85546875" style="60" bestFit="1" customWidth="1"/>
    <col min="2590" max="2590" width="12.42578125" style="60" bestFit="1" customWidth="1"/>
    <col min="2591" max="2591" width="13" style="60" customWidth="1"/>
    <col min="2592" max="2597" width="11.7109375" style="60" customWidth="1"/>
    <col min="2598" max="2598" width="12.85546875" style="60" bestFit="1" customWidth="1"/>
    <col min="2599" max="2602" width="13" style="60" customWidth="1"/>
    <col min="2603" max="2603" width="12.7109375" style="60" customWidth="1"/>
    <col min="2604" max="2608" width="11.7109375" style="60" customWidth="1"/>
    <col min="2609" max="2609" width="14.28515625" style="60" customWidth="1"/>
    <col min="2610" max="2610" width="11.7109375" style="60" customWidth="1"/>
    <col min="2611" max="2612" width="9.140625" style="60"/>
    <col min="2613" max="2613" width="11.7109375" style="60" customWidth="1"/>
    <col min="2614" max="2614" width="9.140625" style="60"/>
    <col min="2615" max="2615" width="9.42578125" style="60" bestFit="1" customWidth="1"/>
    <col min="2616" max="2616" width="11.5703125" style="60" bestFit="1" customWidth="1"/>
    <col min="2617" max="2821" width="9.140625" style="60"/>
    <col min="2822" max="2822" width="31" style="60" customWidth="1"/>
    <col min="2823" max="2823" width="13.28515625" style="60" customWidth="1"/>
    <col min="2824" max="2824" width="14.28515625" style="60" customWidth="1"/>
    <col min="2825" max="2825" width="15.28515625" style="60" customWidth="1"/>
    <col min="2826" max="2826" width="14.28515625" style="60" customWidth="1"/>
    <col min="2827" max="2827" width="18.140625" style="60" bestFit="1" customWidth="1"/>
    <col min="2828" max="2829" width="14.28515625" style="60" customWidth="1"/>
    <col min="2830" max="2830" width="42.5703125" style="60" customWidth="1"/>
    <col min="2831" max="2842" width="11.7109375" style="60" customWidth="1"/>
    <col min="2843" max="2845" width="12.85546875" style="60" bestFit="1" customWidth="1"/>
    <col min="2846" max="2846" width="12.42578125" style="60" bestFit="1" customWidth="1"/>
    <col min="2847" max="2847" width="13" style="60" customWidth="1"/>
    <col min="2848" max="2853" width="11.7109375" style="60" customWidth="1"/>
    <col min="2854" max="2854" width="12.85546875" style="60" bestFit="1" customWidth="1"/>
    <col min="2855" max="2858" width="13" style="60" customWidth="1"/>
    <col min="2859" max="2859" width="12.7109375" style="60" customWidth="1"/>
    <col min="2860" max="2864" width="11.7109375" style="60" customWidth="1"/>
    <col min="2865" max="2865" width="14.28515625" style="60" customWidth="1"/>
    <col min="2866" max="2866" width="11.7109375" style="60" customWidth="1"/>
    <col min="2867" max="2868" width="9.140625" style="60"/>
    <col min="2869" max="2869" width="11.7109375" style="60" customWidth="1"/>
    <col min="2870" max="2870" width="9.140625" style="60"/>
    <col min="2871" max="2871" width="9.42578125" style="60" bestFit="1" customWidth="1"/>
    <col min="2872" max="2872" width="11.5703125" style="60" bestFit="1" customWidth="1"/>
    <col min="2873" max="3077" width="9.140625" style="60"/>
    <col min="3078" max="3078" width="31" style="60" customWidth="1"/>
    <col min="3079" max="3079" width="13.28515625" style="60" customWidth="1"/>
    <col min="3080" max="3080" width="14.28515625" style="60" customWidth="1"/>
    <col min="3081" max="3081" width="15.28515625" style="60" customWidth="1"/>
    <col min="3082" max="3082" width="14.28515625" style="60" customWidth="1"/>
    <col min="3083" max="3083" width="18.140625" style="60" bestFit="1" customWidth="1"/>
    <col min="3084" max="3085" width="14.28515625" style="60" customWidth="1"/>
    <col min="3086" max="3086" width="42.5703125" style="60" customWidth="1"/>
    <col min="3087" max="3098" width="11.7109375" style="60" customWidth="1"/>
    <col min="3099" max="3101" width="12.85546875" style="60" bestFit="1" customWidth="1"/>
    <col min="3102" max="3102" width="12.42578125" style="60" bestFit="1" customWidth="1"/>
    <col min="3103" max="3103" width="13" style="60" customWidth="1"/>
    <col min="3104" max="3109" width="11.7109375" style="60" customWidth="1"/>
    <col min="3110" max="3110" width="12.85546875" style="60" bestFit="1" customWidth="1"/>
    <col min="3111" max="3114" width="13" style="60" customWidth="1"/>
    <col min="3115" max="3115" width="12.7109375" style="60" customWidth="1"/>
    <col min="3116" max="3120" width="11.7109375" style="60" customWidth="1"/>
    <col min="3121" max="3121" width="14.28515625" style="60" customWidth="1"/>
    <col min="3122" max="3122" width="11.7109375" style="60" customWidth="1"/>
    <col min="3123" max="3124" width="9.140625" style="60"/>
    <col min="3125" max="3125" width="11.7109375" style="60" customWidth="1"/>
    <col min="3126" max="3126" width="9.140625" style="60"/>
    <col min="3127" max="3127" width="9.42578125" style="60" bestFit="1" customWidth="1"/>
    <col min="3128" max="3128" width="11.5703125" style="60" bestFit="1" customWidth="1"/>
    <col min="3129" max="3333" width="9.140625" style="60"/>
    <col min="3334" max="3334" width="31" style="60" customWidth="1"/>
    <col min="3335" max="3335" width="13.28515625" style="60" customWidth="1"/>
    <col min="3336" max="3336" width="14.28515625" style="60" customWidth="1"/>
    <col min="3337" max="3337" width="15.28515625" style="60" customWidth="1"/>
    <col min="3338" max="3338" width="14.28515625" style="60" customWidth="1"/>
    <col min="3339" max="3339" width="18.140625" style="60" bestFit="1" customWidth="1"/>
    <col min="3340" max="3341" width="14.28515625" style="60" customWidth="1"/>
    <col min="3342" max="3342" width="42.5703125" style="60" customWidth="1"/>
    <col min="3343" max="3354" width="11.7109375" style="60" customWidth="1"/>
    <col min="3355" max="3357" width="12.85546875" style="60" bestFit="1" customWidth="1"/>
    <col min="3358" max="3358" width="12.42578125" style="60" bestFit="1" customWidth="1"/>
    <col min="3359" max="3359" width="13" style="60" customWidth="1"/>
    <col min="3360" max="3365" width="11.7109375" style="60" customWidth="1"/>
    <col min="3366" max="3366" width="12.85546875" style="60" bestFit="1" customWidth="1"/>
    <col min="3367" max="3370" width="13" style="60" customWidth="1"/>
    <col min="3371" max="3371" width="12.7109375" style="60" customWidth="1"/>
    <col min="3372" max="3376" width="11.7109375" style="60" customWidth="1"/>
    <col min="3377" max="3377" width="14.28515625" style="60" customWidth="1"/>
    <col min="3378" max="3378" width="11.7109375" style="60" customWidth="1"/>
    <col min="3379" max="3380" width="9.140625" style="60"/>
    <col min="3381" max="3381" width="11.7109375" style="60" customWidth="1"/>
    <col min="3382" max="3382" width="9.140625" style="60"/>
    <col min="3383" max="3383" width="9.42578125" style="60" bestFit="1" customWidth="1"/>
    <col min="3384" max="3384" width="11.5703125" style="60" bestFit="1" customWidth="1"/>
    <col min="3385" max="3589" width="9.140625" style="60"/>
    <col min="3590" max="3590" width="31" style="60" customWidth="1"/>
    <col min="3591" max="3591" width="13.28515625" style="60" customWidth="1"/>
    <col min="3592" max="3592" width="14.28515625" style="60" customWidth="1"/>
    <col min="3593" max="3593" width="15.28515625" style="60" customWidth="1"/>
    <col min="3594" max="3594" width="14.28515625" style="60" customWidth="1"/>
    <col min="3595" max="3595" width="18.140625" style="60" bestFit="1" customWidth="1"/>
    <col min="3596" max="3597" width="14.28515625" style="60" customWidth="1"/>
    <col min="3598" max="3598" width="42.5703125" style="60" customWidth="1"/>
    <col min="3599" max="3610" width="11.7109375" style="60" customWidth="1"/>
    <col min="3611" max="3613" width="12.85546875" style="60" bestFit="1" customWidth="1"/>
    <col min="3614" max="3614" width="12.42578125" style="60" bestFit="1" customWidth="1"/>
    <col min="3615" max="3615" width="13" style="60" customWidth="1"/>
    <col min="3616" max="3621" width="11.7109375" style="60" customWidth="1"/>
    <col min="3622" max="3622" width="12.85546875" style="60" bestFit="1" customWidth="1"/>
    <col min="3623" max="3626" width="13" style="60" customWidth="1"/>
    <col min="3627" max="3627" width="12.7109375" style="60" customWidth="1"/>
    <col min="3628" max="3632" width="11.7109375" style="60" customWidth="1"/>
    <col min="3633" max="3633" width="14.28515625" style="60" customWidth="1"/>
    <col min="3634" max="3634" width="11.7109375" style="60" customWidth="1"/>
    <col min="3635" max="3636" width="9.140625" style="60"/>
    <col min="3637" max="3637" width="11.7109375" style="60" customWidth="1"/>
    <col min="3638" max="3638" width="9.140625" style="60"/>
    <col min="3639" max="3639" width="9.42578125" style="60" bestFit="1" customWidth="1"/>
    <col min="3640" max="3640" width="11.5703125" style="60" bestFit="1" customWidth="1"/>
    <col min="3641" max="3845" width="9.140625" style="60"/>
    <col min="3846" max="3846" width="31" style="60" customWidth="1"/>
    <col min="3847" max="3847" width="13.28515625" style="60" customWidth="1"/>
    <col min="3848" max="3848" width="14.28515625" style="60" customWidth="1"/>
    <col min="3849" max="3849" width="15.28515625" style="60" customWidth="1"/>
    <col min="3850" max="3850" width="14.28515625" style="60" customWidth="1"/>
    <col min="3851" max="3851" width="18.140625" style="60" bestFit="1" customWidth="1"/>
    <col min="3852" max="3853" width="14.28515625" style="60" customWidth="1"/>
    <col min="3854" max="3854" width="42.5703125" style="60" customWidth="1"/>
    <col min="3855" max="3866" width="11.7109375" style="60" customWidth="1"/>
    <col min="3867" max="3869" width="12.85546875" style="60" bestFit="1" customWidth="1"/>
    <col min="3870" max="3870" width="12.42578125" style="60" bestFit="1" customWidth="1"/>
    <col min="3871" max="3871" width="13" style="60" customWidth="1"/>
    <col min="3872" max="3877" width="11.7109375" style="60" customWidth="1"/>
    <col min="3878" max="3878" width="12.85546875" style="60" bestFit="1" customWidth="1"/>
    <col min="3879" max="3882" width="13" style="60" customWidth="1"/>
    <col min="3883" max="3883" width="12.7109375" style="60" customWidth="1"/>
    <col min="3884" max="3888" width="11.7109375" style="60" customWidth="1"/>
    <col min="3889" max="3889" width="14.28515625" style="60" customWidth="1"/>
    <col min="3890" max="3890" width="11.7109375" style="60" customWidth="1"/>
    <col min="3891" max="3892" width="9.140625" style="60"/>
    <col min="3893" max="3893" width="11.7109375" style="60" customWidth="1"/>
    <col min="3894" max="3894" width="9.140625" style="60"/>
    <col min="3895" max="3895" width="9.42578125" style="60" bestFit="1" customWidth="1"/>
    <col min="3896" max="3896" width="11.5703125" style="60" bestFit="1" customWidth="1"/>
    <col min="3897" max="4101" width="9.140625" style="60"/>
    <col min="4102" max="4102" width="31" style="60" customWidth="1"/>
    <col min="4103" max="4103" width="13.28515625" style="60" customWidth="1"/>
    <col min="4104" max="4104" width="14.28515625" style="60" customWidth="1"/>
    <col min="4105" max="4105" width="15.28515625" style="60" customWidth="1"/>
    <col min="4106" max="4106" width="14.28515625" style="60" customWidth="1"/>
    <col min="4107" max="4107" width="18.140625" style="60" bestFit="1" customWidth="1"/>
    <col min="4108" max="4109" width="14.28515625" style="60" customWidth="1"/>
    <col min="4110" max="4110" width="42.5703125" style="60" customWidth="1"/>
    <col min="4111" max="4122" width="11.7109375" style="60" customWidth="1"/>
    <col min="4123" max="4125" width="12.85546875" style="60" bestFit="1" customWidth="1"/>
    <col min="4126" max="4126" width="12.42578125" style="60" bestFit="1" customWidth="1"/>
    <col min="4127" max="4127" width="13" style="60" customWidth="1"/>
    <col min="4128" max="4133" width="11.7109375" style="60" customWidth="1"/>
    <col min="4134" max="4134" width="12.85546875" style="60" bestFit="1" customWidth="1"/>
    <col min="4135" max="4138" width="13" style="60" customWidth="1"/>
    <col min="4139" max="4139" width="12.7109375" style="60" customWidth="1"/>
    <col min="4140" max="4144" width="11.7109375" style="60" customWidth="1"/>
    <col min="4145" max="4145" width="14.28515625" style="60" customWidth="1"/>
    <col min="4146" max="4146" width="11.7109375" style="60" customWidth="1"/>
    <col min="4147" max="4148" width="9.140625" style="60"/>
    <col min="4149" max="4149" width="11.7109375" style="60" customWidth="1"/>
    <col min="4150" max="4150" width="9.140625" style="60"/>
    <col min="4151" max="4151" width="9.42578125" style="60" bestFit="1" customWidth="1"/>
    <col min="4152" max="4152" width="11.5703125" style="60" bestFit="1" customWidth="1"/>
    <col min="4153" max="4357" width="9.140625" style="60"/>
    <col min="4358" max="4358" width="31" style="60" customWidth="1"/>
    <col min="4359" max="4359" width="13.28515625" style="60" customWidth="1"/>
    <col min="4360" max="4360" width="14.28515625" style="60" customWidth="1"/>
    <col min="4361" max="4361" width="15.28515625" style="60" customWidth="1"/>
    <col min="4362" max="4362" width="14.28515625" style="60" customWidth="1"/>
    <col min="4363" max="4363" width="18.140625" style="60" bestFit="1" customWidth="1"/>
    <col min="4364" max="4365" width="14.28515625" style="60" customWidth="1"/>
    <col min="4366" max="4366" width="42.5703125" style="60" customWidth="1"/>
    <col min="4367" max="4378" width="11.7109375" style="60" customWidth="1"/>
    <col min="4379" max="4381" width="12.85546875" style="60" bestFit="1" customWidth="1"/>
    <col min="4382" max="4382" width="12.42578125" style="60" bestFit="1" customWidth="1"/>
    <col min="4383" max="4383" width="13" style="60" customWidth="1"/>
    <col min="4384" max="4389" width="11.7109375" style="60" customWidth="1"/>
    <col min="4390" max="4390" width="12.85546875" style="60" bestFit="1" customWidth="1"/>
    <col min="4391" max="4394" width="13" style="60" customWidth="1"/>
    <col min="4395" max="4395" width="12.7109375" style="60" customWidth="1"/>
    <col min="4396" max="4400" width="11.7109375" style="60" customWidth="1"/>
    <col min="4401" max="4401" width="14.28515625" style="60" customWidth="1"/>
    <col min="4402" max="4402" width="11.7109375" style="60" customWidth="1"/>
    <col min="4403" max="4404" width="9.140625" style="60"/>
    <col min="4405" max="4405" width="11.7109375" style="60" customWidth="1"/>
    <col min="4406" max="4406" width="9.140625" style="60"/>
    <col min="4407" max="4407" width="9.42578125" style="60" bestFit="1" customWidth="1"/>
    <col min="4408" max="4408" width="11.5703125" style="60" bestFit="1" customWidth="1"/>
    <col min="4409" max="4613" width="9.140625" style="60"/>
    <col min="4614" max="4614" width="31" style="60" customWidth="1"/>
    <col min="4615" max="4615" width="13.28515625" style="60" customWidth="1"/>
    <col min="4616" max="4616" width="14.28515625" style="60" customWidth="1"/>
    <col min="4617" max="4617" width="15.28515625" style="60" customWidth="1"/>
    <col min="4618" max="4618" width="14.28515625" style="60" customWidth="1"/>
    <col min="4619" max="4619" width="18.140625" style="60" bestFit="1" customWidth="1"/>
    <col min="4620" max="4621" width="14.28515625" style="60" customWidth="1"/>
    <col min="4622" max="4622" width="42.5703125" style="60" customWidth="1"/>
    <col min="4623" max="4634" width="11.7109375" style="60" customWidth="1"/>
    <col min="4635" max="4637" width="12.85546875" style="60" bestFit="1" customWidth="1"/>
    <col min="4638" max="4638" width="12.42578125" style="60" bestFit="1" customWidth="1"/>
    <col min="4639" max="4639" width="13" style="60" customWidth="1"/>
    <col min="4640" max="4645" width="11.7109375" style="60" customWidth="1"/>
    <col min="4646" max="4646" width="12.85546875" style="60" bestFit="1" customWidth="1"/>
    <col min="4647" max="4650" width="13" style="60" customWidth="1"/>
    <col min="4651" max="4651" width="12.7109375" style="60" customWidth="1"/>
    <col min="4652" max="4656" width="11.7109375" style="60" customWidth="1"/>
    <col min="4657" max="4657" width="14.28515625" style="60" customWidth="1"/>
    <col min="4658" max="4658" width="11.7109375" style="60" customWidth="1"/>
    <col min="4659" max="4660" width="9.140625" style="60"/>
    <col min="4661" max="4661" width="11.7109375" style="60" customWidth="1"/>
    <col min="4662" max="4662" width="9.140625" style="60"/>
    <col min="4663" max="4663" width="9.42578125" style="60" bestFit="1" customWidth="1"/>
    <col min="4664" max="4664" width="11.5703125" style="60" bestFit="1" customWidth="1"/>
    <col min="4665" max="4869" width="9.140625" style="60"/>
    <col min="4870" max="4870" width="31" style="60" customWidth="1"/>
    <col min="4871" max="4871" width="13.28515625" style="60" customWidth="1"/>
    <col min="4872" max="4872" width="14.28515625" style="60" customWidth="1"/>
    <col min="4873" max="4873" width="15.28515625" style="60" customWidth="1"/>
    <col min="4874" max="4874" width="14.28515625" style="60" customWidth="1"/>
    <col min="4875" max="4875" width="18.140625" style="60" bestFit="1" customWidth="1"/>
    <col min="4876" max="4877" width="14.28515625" style="60" customWidth="1"/>
    <col min="4878" max="4878" width="42.5703125" style="60" customWidth="1"/>
    <col min="4879" max="4890" width="11.7109375" style="60" customWidth="1"/>
    <col min="4891" max="4893" width="12.85546875" style="60" bestFit="1" customWidth="1"/>
    <col min="4894" max="4894" width="12.42578125" style="60" bestFit="1" customWidth="1"/>
    <col min="4895" max="4895" width="13" style="60" customWidth="1"/>
    <col min="4896" max="4901" width="11.7109375" style="60" customWidth="1"/>
    <col min="4902" max="4902" width="12.85546875" style="60" bestFit="1" customWidth="1"/>
    <col min="4903" max="4906" width="13" style="60" customWidth="1"/>
    <col min="4907" max="4907" width="12.7109375" style="60" customWidth="1"/>
    <col min="4908" max="4912" width="11.7109375" style="60" customWidth="1"/>
    <col min="4913" max="4913" width="14.28515625" style="60" customWidth="1"/>
    <col min="4914" max="4914" width="11.7109375" style="60" customWidth="1"/>
    <col min="4915" max="4916" width="9.140625" style="60"/>
    <col min="4917" max="4917" width="11.7109375" style="60" customWidth="1"/>
    <col min="4918" max="4918" width="9.140625" style="60"/>
    <col min="4919" max="4919" width="9.42578125" style="60" bestFit="1" customWidth="1"/>
    <col min="4920" max="4920" width="11.5703125" style="60" bestFit="1" customWidth="1"/>
    <col min="4921" max="5125" width="9.140625" style="60"/>
    <col min="5126" max="5126" width="31" style="60" customWidth="1"/>
    <col min="5127" max="5127" width="13.28515625" style="60" customWidth="1"/>
    <col min="5128" max="5128" width="14.28515625" style="60" customWidth="1"/>
    <col min="5129" max="5129" width="15.28515625" style="60" customWidth="1"/>
    <col min="5130" max="5130" width="14.28515625" style="60" customWidth="1"/>
    <col min="5131" max="5131" width="18.140625" style="60" bestFit="1" customWidth="1"/>
    <col min="5132" max="5133" width="14.28515625" style="60" customWidth="1"/>
    <col min="5134" max="5134" width="42.5703125" style="60" customWidth="1"/>
    <col min="5135" max="5146" width="11.7109375" style="60" customWidth="1"/>
    <col min="5147" max="5149" width="12.85546875" style="60" bestFit="1" customWidth="1"/>
    <col min="5150" max="5150" width="12.42578125" style="60" bestFit="1" customWidth="1"/>
    <col min="5151" max="5151" width="13" style="60" customWidth="1"/>
    <col min="5152" max="5157" width="11.7109375" style="60" customWidth="1"/>
    <col min="5158" max="5158" width="12.85546875" style="60" bestFit="1" customWidth="1"/>
    <col min="5159" max="5162" width="13" style="60" customWidth="1"/>
    <col min="5163" max="5163" width="12.7109375" style="60" customWidth="1"/>
    <col min="5164" max="5168" width="11.7109375" style="60" customWidth="1"/>
    <col min="5169" max="5169" width="14.28515625" style="60" customWidth="1"/>
    <col min="5170" max="5170" width="11.7109375" style="60" customWidth="1"/>
    <col min="5171" max="5172" width="9.140625" style="60"/>
    <col min="5173" max="5173" width="11.7109375" style="60" customWidth="1"/>
    <col min="5174" max="5174" width="9.140625" style="60"/>
    <col min="5175" max="5175" width="9.42578125" style="60" bestFit="1" customWidth="1"/>
    <col min="5176" max="5176" width="11.5703125" style="60" bestFit="1" customWidth="1"/>
    <col min="5177" max="5381" width="9.140625" style="60"/>
    <col min="5382" max="5382" width="31" style="60" customWidth="1"/>
    <col min="5383" max="5383" width="13.28515625" style="60" customWidth="1"/>
    <col min="5384" max="5384" width="14.28515625" style="60" customWidth="1"/>
    <col min="5385" max="5385" width="15.28515625" style="60" customWidth="1"/>
    <col min="5386" max="5386" width="14.28515625" style="60" customWidth="1"/>
    <col min="5387" max="5387" width="18.140625" style="60" bestFit="1" customWidth="1"/>
    <col min="5388" max="5389" width="14.28515625" style="60" customWidth="1"/>
    <col min="5390" max="5390" width="42.5703125" style="60" customWidth="1"/>
    <col min="5391" max="5402" width="11.7109375" style="60" customWidth="1"/>
    <col min="5403" max="5405" width="12.85546875" style="60" bestFit="1" customWidth="1"/>
    <col min="5406" max="5406" width="12.42578125" style="60" bestFit="1" customWidth="1"/>
    <col min="5407" max="5407" width="13" style="60" customWidth="1"/>
    <col min="5408" max="5413" width="11.7109375" style="60" customWidth="1"/>
    <col min="5414" max="5414" width="12.85546875" style="60" bestFit="1" customWidth="1"/>
    <col min="5415" max="5418" width="13" style="60" customWidth="1"/>
    <col min="5419" max="5419" width="12.7109375" style="60" customWidth="1"/>
    <col min="5420" max="5424" width="11.7109375" style="60" customWidth="1"/>
    <col min="5425" max="5425" width="14.28515625" style="60" customWidth="1"/>
    <col min="5426" max="5426" width="11.7109375" style="60" customWidth="1"/>
    <col min="5427" max="5428" width="9.140625" style="60"/>
    <col min="5429" max="5429" width="11.7109375" style="60" customWidth="1"/>
    <col min="5430" max="5430" width="9.140625" style="60"/>
    <col min="5431" max="5431" width="9.42578125" style="60" bestFit="1" customWidth="1"/>
    <col min="5432" max="5432" width="11.5703125" style="60" bestFit="1" customWidth="1"/>
    <col min="5433" max="5637" width="9.140625" style="60"/>
    <col min="5638" max="5638" width="31" style="60" customWidth="1"/>
    <col min="5639" max="5639" width="13.28515625" style="60" customWidth="1"/>
    <col min="5640" max="5640" width="14.28515625" style="60" customWidth="1"/>
    <col min="5641" max="5641" width="15.28515625" style="60" customWidth="1"/>
    <col min="5642" max="5642" width="14.28515625" style="60" customWidth="1"/>
    <col min="5643" max="5643" width="18.140625" style="60" bestFit="1" customWidth="1"/>
    <col min="5644" max="5645" width="14.28515625" style="60" customWidth="1"/>
    <col min="5646" max="5646" width="42.5703125" style="60" customWidth="1"/>
    <col min="5647" max="5658" width="11.7109375" style="60" customWidth="1"/>
    <col min="5659" max="5661" width="12.85546875" style="60" bestFit="1" customWidth="1"/>
    <col min="5662" max="5662" width="12.42578125" style="60" bestFit="1" customWidth="1"/>
    <col min="5663" max="5663" width="13" style="60" customWidth="1"/>
    <col min="5664" max="5669" width="11.7109375" style="60" customWidth="1"/>
    <col min="5670" max="5670" width="12.85546875" style="60" bestFit="1" customWidth="1"/>
    <col min="5671" max="5674" width="13" style="60" customWidth="1"/>
    <col min="5675" max="5675" width="12.7109375" style="60" customWidth="1"/>
    <col min="5676" max="5680" width="11.7109375" style="60" customWidth="1"/>
    <col min="5681" max="5681" width="14.28515625" style="60" customWidth="1"/>
    <col min="5682" max="5682" width="11.7109375" style="60" customWidth="1"/>
    <col min="5683" max="5684" width="9.140625" style="60"/>
    <col min="5685" max="5685" width="11.7109375" style="60" customWidth="1"/>
    <col min="5686" max="5686" width="9.140625" style="60"/>
    <col min="5687" max="5687" width="9.42578125" style="60" bestFit="1" customWidth="1"/>
    <col min="5688" max="5688" width="11.5703125" style="60" bestFit="1" customWidth="1"/>
    <col min="5689" max="5893" width="9.140625" style="60"/>
    <col min="5894" max="5894" width="31" style="60" customWidth="1"/>
    <col min="5895" max="5895" width="13.28515625" style="60" customWidth="1"/>
    <col min="5896" max="5896" width="14.28515625" style="60" customWidth="1"/>
    <col min="5897" max="5897" width="15.28515625" style="60" customWidth="1"/>
    <col min="5898" max="5898" width="14.28515625" style="60" customWidth="1"/>
    <col min="5899" max="5899" width="18.140625" style="60" bestFit="1" customWidth="1"/>
    <col min="5900" max="5901" width="14.28515625" style="60" customWidth="1"/>
    <col min="5902" max="5902" width="42.5703125" style="60" customWidth="1"/>
    <col min="5903" max="5914" width="11.7109375" style="60" customWidth="1"/>
    <col min="5915" max="5917" width="12.85546875" style="60" bestFit="1" customWidth="1"/>
    <col min="5918" max="5918" width="12.42578125" style="60" bestFit="1" customWidth="1"/>
    <col min="5919" max="5919" width="13" style="60" customWidth="1"/>
    <col min="5920" max="5925" width="11.7109375" style="60" customWidth="1"/>
    <col min="5926" max="5926" width="12.85546875" style="60" bestFit="1" customWidth="1"/>
    <col min="5927" max="5930" width="13" style="60" customWidth="1"/>
    <col min="5931" max="5931" width="12.7109375" style="60" customWidth="1"/>
    <col min="5932" max="5936" width="11.7109375" style="60" customWidth="1"/>
    <col min="5937" max="5937" width="14.28515625" style="60" customWidth="1"/>
    <col min="5938" max="5938" width="11.7109375" style="60" customWidth="1"/>
    <col min="5939" max="5940" width="9.140625" style="60"/>
    <col min="5941" max="5941" width="11.7109375" style="60" customWidth="1"/>
    <col min="5942" max="5942" width="9.140625" style="60"/>
    <col min="5943" max="5943" width="9.42578125" style="60" bestFit="1" customWidth="1"/>
    <col min="5944" max="5944" width="11.5703125" style="60" bestFit="1" customWidth="1"/>
    <col min="5945" max="6149" width="9.140625" style="60"/>
    <col min="6150" max="6150" width="31" style="60" customWidth="1"/>
    <col min="6151" max="6151" width="13.28515625" style="60" customWidth="1"/>
    <col min="6152" max="6152" width="14.28515625" style="60" customWidth="1"/>
    <col min="6153" max="6153" width="15.28515625" style="60" customWidth="1"/>
    <col min="6154" max="6154" width="14.28515625" style="60" customWidth="1"/>
    <col min="6155" max="6155" width="18.140625" style="60" bestFit="1" customWidth="1"/>
    <col min="6156" max="6157" width="14.28515625" style="60" customWidth="1"/>
    <col min="6158" max="6158" width="42.5703125" style="60" customWidth="1"/>
    <col min="6159" max="6170" width="11.7109375" style="60" customWidth="1"/>
    <col min="6171" max="6173" width="12.85546875" style="60" bestFit="1" customWidth="1"/>
    <col min="6174" max="6174" width="12.42578125" style="60" bestFit="1" customWidth="1"/>
    <col min="6175" max="6175" width="13" style="60" customWidth="1"/>
    <col min="6176" max="6181" width="11.7109375" style="60" customWidth="1"/>
    <col min="6182" max="6182" width="12.85546875" style="60" bestFit="1" customWidth="1"/>
    <col min="6183" max="6186" width="13" style="60" customWidth="1"/>
    <col min="6187" max="6187" width="12.7109375" style="60" customWidth="1"/>
    <col min="6188" max="6192" width="11.7109375" style="60" customWidth="1"/>
    <col min="6193" max="6193" width="14.28515625" style="60" customWidth="1"/>
    <col min="6194" max="6194" width="11.7109375" style="60" customWidth="1"/>
    <col min="6195" max="6196" width="9.140625" style="60"/>
    <col min="6197" max="6197" width="11.7109375" style="60" customWidth="1"/>
    <col min="6198" max="6198" width="9.140625" style="60"/>
    <col min="6199" max="6199" width="9.42578125" style="60" bestFit="1" customWidth="1"/>
    <col min="6200" max="6200" width="11.5703125" style="60" bestFit="1" customWidth="1"/>
    <col min="6201" max="6405" width="9.140625" style="60"/>
    <col min="6406" max="6406" width="31" style="60" customWidth="1"/>
    <col min="6407" max="6407" width="13.28515625" style="60" customWidth="1"/>
    <col min="6408" max="6408" width="14.28515625" style="60" customWidth="1"/>
    <col min="6409" max="6409" width="15.28515625" style="60" customWidth="1"/>
    <col min="6410" max="6410" width="14.28515625" style="60" customWidth="1"/>
    <col min="6411" max="6411" width="18.140625" style="60" bestFit="1" customWidth="1"/>
    <col min="6412" max="6413" width="14.28515625" style="60" customWidth="1"/>
    <col min="6414" max="6414" width="42.5703125" style="60" customWidth="1"/>
    <col min="6415" max="6426" width="11.7109375" style="60" customWidth="1"/>
    <col min="6427" max="6429" width="12.85546875" style="60" bestFit="1" customWidth="1"/>
    <col min="6430" max="6430" width="12.42578125" style="60" bestFit="1" customWidth="1"/>
    <col min="6431" max="6431" width="13" style="60" customWidth="1"/>
    <col min="6432" max="6437" width="11.7109375" style="60" customWidth="1"/>
    <col min="6438" max="6438" width="12.85546875" style="60" bestFit="1" customWidth="1"/>
    <col min="6439" max="6442" width="13" style="60" customWidth="1"/>
    <col min="6443" max="6443" width="12.7109375" style="60" customWidth="1"/>
    <col min="6444" max="6448" width="11.7109375" style="60" customWidth="1"/>
    <col min="6449" max="6449" width="14.28515625" style="60" customWidth="1"/>
    <col min="6450" max="6450" width="11.7109375" style="60" customWidth="1"/>
    <col min="6451" max="6452" width="9.140625" style="60"/>
    <col min="6453" max="6453" width="11.7109375" style="60" customWidth="1"/>
    <col min="6454" max="6454" width="9.140625" style="60"/>
    <col min="6455" max="6455" width="9.42578125" style="60" bestFit="1" customWidth="1"/>
    <col min="6456" max="6456" width="11.5703125" style="60" bestFit="1" customWidth="1"/>
    <col min="6457" max="6661" width="9.140625" style="60"/>
    <col min="6662" max="6662" width="31" style="60" customWidth="1"/>
    <col min="6663" max="6663" width="13.28515625" style="60" customWidth="1"/>
    <col min="6664" max="6664" width="14.28515625" style="60" customWidth="1"/>
    <col min="6665" max="6665" width="15.28515625" style="60" customWidth="1"/>
    <col min="6666" max="6666" width="14.28515625" style="60" customWidth="1"/>
    <col min="6667" max="6667" width="18.140625" style="60" bestFit="1" customWidth="1"/>
    <col min="6668" max="6669" width="14.28515625" style="60" customWidth="1"/>
    <col min="6670" max="6670" width="42.5703125" style="60" customWidth="1"/>
    <col min="6671" max="6682" width="11.7109375" style="60" customWidth="1"/>
    <col min="6683" max="6685" width="12.85546875" style="60" bestFit="1" customWidth="1"/>
    <col min="6686" max="6686" width="12.42578125" style="60" bestFit="1" customWidth="1"/>
    <col min="6687" max="6687" width="13" style="60" customWidth="1"/>
    <col min="6688" max="6693" width="11.7109375" style="60" customWidth="1"/>
    <col min="6694" max="6694" width="12.85546875" style="60" bestFit="1" customWidth="1"/>
    <col min="6695" max="6698" width="13" style="60" customWidth="1"/>
    <col min="6699" max="6699" width="12.7109375" style="60" customWidth="1"/>
    <col min="6700" max="6704" width="11.7109375" style="60" customWidth="1"/>
    <col min="6705" max="6705" width="14.28515625" style="60" customWidth="1"/>
    <col min="6706" max="6706" width="11.7109375" style="60" customWidth="1"/>
    <col min="6707" max="6708" width="9.140625" style="60"/>
    <col min="6709" max="6709" width="11.7109375" style="60" customWidth="1"/>
    <col min="6710" max="6710" width="9.140625" style="60"/>
    <col min="6711" max="6711" width="9.42578125" style="60" bestFit="1" customWidth="1"/>
    <col min="6712" max="6712" width="11.5703125" style="60" bestFit="1" customWidth="1"/>
    <col min="6713" max="6917" width="9.140625" style="60"/>
    <col min="6918" max="6918" width="31" style="60" customWidth="1"/>
    <col min="6919" max="6919" width="13.28515625" style="60" customWidth="1"/>
    <col min="6920" max="6920" width="14.28515625" style="60" customWidth="1"/>
    <col min="6921" max="6921" width="15.28515625" style="60" customWidth="1"/>
    <col min="6922" max="6922" width="14.28515625" style="60" customWidth="1"/>
    <col min="6923" max="6923" width="18.140625" style="60" bestFit="1" customWidth="1"/>
    <col min="6924" max="6925" width="14.28515625" style="60" customWidth="1"/>
    <col min="6926" max="6926" width="42.5703125" style="60" customWidth="1"/>
    <col min="6927" max="6938" width="11.7109375" style="60" customWidth="1"/>
    <col min="6939" max="6941" width="12.85546875" style="60" bestFit="1" customWidth="1"/>
    <col min="6942" max="6942" width="12.42578125" style="60" bestFit="1" customWidth="1"/>
    <col min="6943" max="6943" width="13" style="60" customWidth="1"/>
    <col min="6944" max="6949" width="11.7109375" style="60" customWidth="1"/>
    <col min="6950" max="6950" width="12.85546875" style="60" bestFit="1" customWidth="1"/>
    <col min="6951" max="6954" width="13" style="60" customWidth="1"/>
    <col min="6955" max="6955" width="12.7109375" style="60" customWidth="1"/>
    <col min="6956" max="6960" width="11.7109375" style="60" customWidth="1"/>
    <col min="6961" max="6961" width="14.28515625" style="60" customWidth="1"/>
    <col min="6962" max="6962" width="11.7109375" style="60" customWidth="1"/>
    <col min="6963" max="6964" width="9.140625" style="60"/>
    <col min="6965" max="6965" width="11.7109375" style="60" customWidth="1"/>
    <col min="6966" max="6966" width="9.140625" style="60"/>
    <col min="6967" max="6967" width="9.42578125" style="60" bestFit="1" customWidth="1"/>
    <col min="6968" max="6968" width="11.5703125" style="60" bestFit="1" customWidth="1"/>
    <col min="6969" max="7173" width="9.140625" style="60"/>
    <col min="7174" max="7174" width="31" style="60" customWidth="1"/>
    <col min="7175" max="7175" width="13.28515625" style="60" customWidth="1"/>
    <col min="7176" max="7176" width="14.28515625" style="60" customWidth="1"/>
    <col min="7177" max="7177" width="15.28515625" style="60" customWidth="1"/>
    <col min="7178" max="7178" width="14.28515625" style="60" customWidth="1"/>
    <col min="7179" max="7179" width="18.140625" style="60" bestFit="1" customWidth="1"/>
    <col min="7180" max="7181" width="14.28515625" style="60" customWidth="1"/>
    <col min="7182" max="7182" width="42.5703125" style="60" customWidth="1"/>
    <col min="7183" max="7194" width="11.7109375" style="60" customWidth="1"/>
    <col min="7195" max="7197" width="12.85546875" style="60" bestFit="1" customWidth="1"/>
    <col min="7198" max="7198" width="12.42578125" style="60" bestFit="1" customWidth="1"/>
    <col min="7199" max="7199" width="13" style="60" customWidth="1"/>
    <col min="7200" max="7205" width="11.7109375" style="60" customWidth="1"/>
    <col min="7206" max="7206" width="12.85546875" style="60" bestFit="1" customWidth="1"/>
    <col min="7207" max="7210" width="13" style="60" customWidth="1"/>
    <col min="7211" max="7211" width="12.7109375" style="60" customWidth="1"/>
    <col min="7212" max="7216" width="11.7109375" style="60" customWidth="1"/>
    <col min="7217" max="7217" width="14.28515625" style="60" customWidth="1"/>
    <col min="7218" max="7218" width="11.7109375" style="60" customWidth="1"/>
    <col min="7219" max="7220" width="9.140625" style="60"/>
    <col min="7221" max="7221" width="11.7109375" style="60" customWidth="1"/>
    <col min="7222" max="7222" width="9.140625" style="60"/>
    <col min="7223" max="7223" width="9.42578125" style="60" bestFit="1" customWidth="1"/>
    <col min="7224" max="7224" width="11.5703125" style="60" bestFit="1" customWidth="1"/>
    <col min="7225" max="7429" width="9.140625" style="60"/>
    <col min="7430" max="7430" width="31" style="60" customWidth="1"/>
    <col min="7431" max="7431" width="13.28515625" style="60" customWidth="1"/>
    <col min="7432" max="7432" width="14.28515625" style="60" customWidth="1"/>
    <col min="7433" max="7433" width="15.28515625" style="60" customWidth="1"/>
    <col min="7434" max="7434" width="14.28515625" style="60" customWidth="1"/>
    <col min="7435" max="7435" width="18.140625" style="60" bestFit="1" customWidth="1"/>
    <col min="7436" max="7437" width="14.28515625" style="60" customWidth="1"/>
    <col min="7438" max="7438" width="42.5703125" style="60" customWidth="1"/>
    <col min="7439" max="7450" width="11.7109375" style="60" customWidth="1"/>
    <col min="7451" max="7453" width="12.85546875" style="60" bestFit="1" customWidth="1"/>
    <col min="7454" max="7454" width="12.42578125" style="60" bestFit="1" customWidth="1"/>
    <col min="7455" max="7455" width="13" style="60" customWidth="1"/>
    <col min="7456" max="7461" width="11.7109375" style="60" customWidth="1"/>
    <col min="7462" max="7462" width="12.85546875" style="60" bestFit="1" customWidth="1"/>
    <col min="7463" max="7466" width="13" style="60" customWidth="1"/>
    <col min="7467" max="7467" width="12.7109375" style="60" customWidth="1"/>
    <col min="7468" max="7472" width="11.7109375" style="60" customWidth="1"/>
    <col min="7473" max="7473" width="14.28515625" style="60" customWidth="1"/>
    <col min="7474" max="7474" width="11.7109375" style="60" customWidth="1"/>
    <col min="7475" max="7476" width="9.140625" style="60"/>
    <col min="7477" max="7477" width="11.7109375" style="60" customWidth="1"/>
    <col min="7478" max="7478" width="9.140625" style="60"/>
    <col min="7479" max="7479" width="9.42578125" style="60" bestFit="1" customWidth="1"/>
    <col min="7480" max="7480" width="11.5703125" style="60" bestFit="1" customWidth="1"/>
    <col min="7481" max="7685" width="9.140625" style="60"/>
    <col min="7686" max="7686" width="31" style="60" customWidth="1"/>
    <col min="7687" max="7687" width="13.28515625" style="60" customWidth="1"/>
    <col min="7688" max="7688" width="14.28515625" style="60" customWidth="1"/>
    <col min="7689" max="7689" width="15.28515625" style="60" customWidth="1"/>
    <col min="7690" max="7690" width="14.28515625" style="60" customWidth="1"/>
    <col min="7691" max="7691" width="18.140625" style="60" bestFit="1" customWidth="1"/>
    <col min="7692" max="7693" width="14.28515625" style="60" customWidth="1"/>
    <col min="7694" max="7694" width="42.5703125" style="60" customWidth="1"/>
    <col min="7695" max="7706" width="11.7109375" style="60" customWidth="1"/>
    <col min="7707" max="7709" width="12.85546875" style="60" bestFit="1" customWidth="1"/>
    <col min="7710" max="7710" width="12.42578125" style="60" bestFit="1" customWidth="1"/>
    <col min="7711" max="7711" width="13" style="60" customWidth="1"/>
    <col min="7712" max="7717" width="11.7109375" style="60" customWidth="1"/>
    <col min="7718" max="7718" width="12.85546875" style="60" bestFit="1" customWidth="1"/>
    <col min="7719" max="7722" width="13" style="60" customWidth="1"/>
    <col min="7723" max="7723" width="12.7109375" style="60" customWidth="1"/>
    <col min="7724" max="7728" width="11.7109375" style="60" customWidth="1"/>
    <col min="7729" max="7729" width="14.28515625" style="60" customWidth="1"/>
    <col min="7730" max="7730" width="11.7109375" style="60" customWidth="1"/>
    <col min="7731" max="7732" width="9.140625" style="60"/>
    <col min="7733" max="7733" width="11.7109375" style="60" customWidth="1"/>
    <col min="7734" max="7734" width="9.140625" style="60"/>
    <col min="7735" max="7735" width="9.42578125" style="60" bestFit="1" customWidth="1"/>
    <col min="7736" max="7736" width="11.5703125" style="60" bestFit="1" customWidth="1"/>
    <col min="7737" max="7941" width="9.140625" style="60"/>
    <col min="7942" max="7942" width="31" style="60" customWidth="1"/>
    <col min="7943" max="7943" width="13.28515625" style="60" customWidth="1"/>
    <col min="7944" max="7944" width="14.28515625" style="60" customWidth="1"/>
    <col min="7945" max="7945" width="15.28515625" style="60" customWidth="1"/>
    <col min="7946" max="7946" width="14.28515625" style="60" customWidth="1"/>
    <col min="7947" max="7947" width="18.140625" style="60" bestFit="1" customWidth="1"/>
    <col min="7948" max="7949" width="14.28515625" style="60" customWidth="1"/>
    <col min="7950" max="7950" width="42.5703125" style="60" customWidth="1"/>
    <col min="7951" max="7962" width="11.7109375" style="60" customWidth="1"/>
    <col min="7963" max="7965" width="12.85546875" style="60" bestFit="1" customWidth="1"/>
    <col min="7966" max="7966" width="12.42578125" style="60" bestFit="1" customWidth="1"/>
    <col min="7967" max="7967" width="13" style="60" customWidth="1"/>
    <col min="7968" max="7973" width="11.7109375" style="60" customWidth="1"/>
    <col min="7974" max="7974" width="12.85546875" style="60" bestFit="1" customWidth="1"/>
    <col min="7975" max="7978" width="13" style="60" customWidth="1"/>
    <col min="7979" max="7979" width="12.7109375" style="60" customWidth="1"/>
    <col min="7980" max="7984" width="11.7109375" style="60" customWidth="1"/>
    <col min="7985" max="7985" width="14.28515625" style="60" customWidth="1"/>
    <col min="7986" max="7986" width="11.7109375" style="60" customWidth="1"/>
    <col min="7987" max="7988" width="9.140625" style="60"/>
    <col min="7989" max="7989" width="11.7109375" style="60" customWidth="1"/>
    <col min="7990" max="7990" width="9.140625" style="60"/>
    <col min="7991" max="7991" width="9.42578125" style="60" bestFit="1" customWidth="1"/>
    <col min="7992" max="7992" width="11.5703125" style="60" bestFit="1" customWidth="1"/>
    <col min="7993" max="8197" width="9.140625" style="60"/>
    <col min="8198" max="8198" width="31" style="60" customWidth="1"/>
    <col min="8199" max="8199" width="13.28515625" style="60" customWidth="1"/>
    <col min="8200" max="8200" width="14.28515625" style="60" customWidth="1"/>
    <col min="8201" max="8201" width="15.28515625" style="60" customWidth="1"/>
    <col min="8202" max="8202" width="14.28515625" style="60" customWidth="1"/>
    <col min="8203" max="8203" width="18.140625" style="60" bestFit="1" customWidth="1"/>
    <col min="8204" max="8205" width="14.28515625" style="60" customWidth="1"/>
    <col min="8206" max="8206" width="42.5703125" style="60" customWidth="1"/>
    <col min="8207" max="8218" width="11.7109375" style="60" customWidth="1"/>
    <col min="8219" max="8221" width="12.85546875" style="60" bestFit="1" customWidth="1"/>
    <col min="8222" max="8222" width="12.42578125" style="60" bestFit="1" customWidth="1"/>
    <col min="8223" max="8223" width="13" style="60" customWidth="1"/>
    <col min="8224" max="8229" width="11.7109375" style="60" customWidth="1"/>
    <col min="8230" max="8230" width="12.85546875" style="60" bestFit="1" customWidth="1"/>
    <col min="8231" max="8234" width="13" style="60" customWidth="1"/>
    <col min="8235" max="8235" width="12.7109375" style="60" customWidth="1"/>
    <col min="8236" max="8240" width="11.7109375" style="60" customWidth="1"/>
    <col min="8241" max="8241" width="14.28515625" style="60" customWidth="1"/>
    <col min="8242" max="8242" width="11.7109375" style="60" customWidth="1"/>
    <col min="8243" max="8244" width="9.140625" style="60"/>
    <col min="8245" max="8245" width="11.7109375" style="60" customWidth="1"/>
    <col min="8246" max="8246" width="9.140625" style="60"/>
    <col min="8247" max="8247" width="9.42578125" style="60" bestFit="1" customWidth="1"/>
    <col min="8248" max="8248" width="11.5703125" style="60" bestFit="1" customWidth="1"/>
    <col min="8249" max="8453" width="9.140625" style="60"/>
    <col min="8454" max="8454" width="31" style="60" customWidth="1"/>
    <col min="8455" max="8455" width="13.28515625" style="60" customWidth="1"/>
    <col min="8456" max="8456" width="14.28515625" style="60" customWidth="1"/>
    <col min="8457" max="8457" width="15.28515625" style="60" customWidth="1"/>
    <col min="8458" max="8458" width="14.28515625" style="60" customWidth="1"/>
    <col min="8459" max="8459" width="18.140625" style="60" bestFit="1" customWidth="1"/>
    <col min="8460" max="8461" width="14.28515625" style="60" customWidth="1"/>
    <col min="8462" max="8462" width="42.5703125" style="60" customWidth="1"/>
    <col min="8463" max="8474" width="11.7109375" style="60" customWidth="1"/>
    <col min="8475" max="8477" width="12.85546875" style="60" bestFit="1" customWidth="1"/>
    <col min="8478" max="8478" width="12.42578125" style="60" bestFit="1" customWidth="1"/>
    <col min="8479" max="8479" width="13" style="60" customWidth="1"/>
    <col min="8480" max="8485" width="11.7109375" style="60" customWidth="1"/>
    <col min="8486" max="8486" width="12.85546875" style="60" bestFit="1" customWidth="1"/>
    <col min="8487" max="8490" width="13" style="60" customWidth="1"/>
    <col min="8491" max="8491" width="12.7109375" style="60" customWidth="1"/>
    <col min="8492" max="8496" width="11.7109375" style="60" customWidth="1"/>
    <col min="8497" max="8497" width="14.28515625" style="60" customWidth="1"/>
    <col min="8498" max="8498" width="11.7109375" style="60" customWidth="1"/>
    <col min="8499" max="8500" width="9.140625" style="60"/>
    <col min="8501" max="8501" width="11.7109375" style="60" customWidth="1"/>
    <col min="8502" max="8502" width="9.140625" style="60"/>
    <col min="8503" max="8503" width="9.42578125" style="60" bestFit="1" customWidth="1"/>
    <col min="8504" max="8504" width="11.5703125" style="60" bestFit="1" customWidth="1"/>
    <col min="8505" max="8709" width="9.140625" style="60"/>
    <col min="8710" max="8710" width="31" style="60" customWidth="1"/>
    <col min="8711" max="8711" width="13.28515625" style="60" customWidth="1"/>
    <col min="8712" max="8712" width="14.28515625" style="60" customWidth="1"/>
    <col min="8713" max="8713" width="15.28515625" style="60" customWidth="1"/>
    <col min="8714" max="8714" width="14.28515625" style="60" customWidth="1"/>
    <col min="8715" max="8715" width="18.140625" style="60" bestFit="1" customWidth="1"/>
    <col min="8716" max="8717" width="14.28515625" style="60" customWidth="1"/>
    <col min="8718" max="8718" width="42.5703125" style="60" customWidth="1"/>
    <col min="8719" max="8730" width="11.7109375" style="60" customWidth="1"/>
    <col min="8731" max="8733" width="12.85546875" style="60" bestFit="1" customWidth="1"/>
    <col min="8734" max="8734" width="12.42578125" style="60" bestFit="1" customWidth="1"/>
    <col min="8735" max="8735" width="13" style="60" customWidth="1"/>
    <col min="8736" max="8741" width="11.7109375" style="60" customWidth="1"/>
    <col min="8742" max="8742" width="12.85546875" style="60" bestFit="1" customWidth="1"/>
    <col min="8743" max="8746" width="13" style="60" customWidth="1"/>
    <col min="8747" max="8747" width="12.7109375" style="60" customWidth="1"/>
    <col min="8748" max="8752" width="11.7109375" style="60" customWidth="1"/>
    <col min="8753" max="8753" width="14.28515625" style="60" customWidth="1"/>
    <col min="8754" max="8754" width="11.7109375" style="60" customWidth="1"/>
    <col min="8755" max="8756" width="9.140625" style="60"/>
    <col min="8757" max="8757" width="11.7109375" style="60" customWidth="1"/>
    <col min="8758" max="8758" width="9.140625" style="60"/>
    <col min="8759" max="8759" width="9.42578125" style="60" bestFit="1" customWidth="1"/>
    <col min="8760" max="8760" width="11.5703125" style="60" bestFit="1" customWidth="1"/>
    <col min="8761" max="8965" width="9.140625" style="60"/>
    <col min="8966" max="8966" width="31" style="60" customWidth="1"/>
    <col min="8967" max="8967" width="13.28515625" style="60" customWidth="1"/>
    <col min="8968" max="8968" width="14.28515625" style="60" customWidth="1"/>
    <col min="8969" max="8969" width="15.28515625" style="60" customWidth="1"/>
    <col min="8970" max="8970" width="14.28515625" style="60" customWidth="1"/>
    <col min="8971" max="8971" width="18.140625" style="60" bestFit="1" customWidth="1"/>
    <col min="8972" max="8973" width="14.28515625" style="60" customWidth="1"/>
    <col min="8974" max="8974" width="42.5703125" style="60" customWidth="1"/>
    <col min="8975" max="8986" width="11.7109375" style="60" customWidth="1"/>
    <col min="8987" max="8989" width="12.85546875" style="60" bestFit="1" customWidth="1"/>
    <col min="8990" max="8990" width="12.42578125" style="60" bestFit="1" customWidth="1"/>
    <col min="8991" max="8991" width="13" style="60" customWidth="1"/>
    <col min="8992" max="8997" width="11.7109375" style="60" customWidth="1"/>
    <col min="8998" max="8998" width="12.85546875" style="60" bestFit="1" customWidth="1"/>
    <col min="8999" max="9002" width="13" style="60" customWidth="1"/>
    <col min="9003" max="9003" width="12.7109375" style="60" customWidth="1"/>
    <col min="9004" max="9008" width="11.7109375" style="60" customWidth="1"/>
    <col min="9009" max="9009" width="14.28515625" style="60" customWidth="1"/>
    <col min="9010" max="9010" width="11.7109375" style="60" customWidth="1"/>
    <col min="9011" max="9012" width="9.140625" style="60"/>
    <col min="9013" max="9013" width="11.7109375" style="60" customWidth="1"/>
    <col min="9014" max="9014" width="9.140625" style="60"/>
    <col min="9015" max="9015" width="9.42578125" style="60" bestFit="1" customWidth="1"/>
    <col min="9016" max="9016" width="11.5703125" style="60" bestFit="1" customWidth="1"/>
    <col min="9017" max="9221" width="9.140625" style="60"/>
    <col min="9222" max="9222" width="31" style="60" customWidth="1"/>
    <col min="9223" max="9223" width="13.28515625" style="60" customWidth="1"/>
    <col min="9224" max="9224" width="14.28515625" style="60" customWidth="1"/>
    <col min="9225" max="9225" width="15.28515625" style="60" customWidth="1"/>
    <col min="9226" max="9226" width="14.28515625" style="60" customWidth="1"/>
    <col min="9227" max="9227" width="18.140625" style="60" bestFit="1" customWidth="1"/>
    <col min="9228" max="9229" width="14.28515625" style="60" customWidth="1"/>
    <col min="9230" max="9230" width="42.5703125" style="60" customWidth="1"/>
    <col min="9231" max="9242" width="11.7109375" style="60" customWidth="1"/>
    <col min="9243" max="9245" width="12.85546875" style="60" bestFit="1" customWidth="1"/>
    <col min="9246" max="9246" width="12.42578125" style="60" bestFit="1" customWidth="1"/>
    <col min="9247" max="9247" width="13" style="60" customWidth="1"/>
    <col min="9248" max="9253" width="11.7109375" style="60" customWidth="1"/>
    <col min="9254" max="9254" width="12.85546875" style="60" bestFit="1" customWidth="1"/>
    <col min="9255" max="9258" width="13" style="60" customWidth="1"/>
    <col min="9259" max="9259" width="12.7109375" style="60" customWidth="1"/>
    <col min="9260" max="9264" width="11.7109375" style="60" customWidth="1"/>
    <col min="9265" max="9265" width="14.28515625" style="60" customWidth="1"/>
    <col min="9266" max="9266" width="11.7109375" style="60" customWidth="1"/>
    <col min="9267" max="9268" width="9.140625" style="60"/>
    <col min="9269" max="9269" width="11.7109375" style="60" customWidth="1"/>
    <col min="9270" max="9270" width="9.140625" style="60"/>
    <col min="9271" max="9271" width="9.42578125" style="60" bestFit="1" customWidth="1"/>
    <col min="9272" max="9272" width="11.5703125" style="60" bestFit="1" customWidth="1"/>
    <col min="9273" max="9477" width="9.140625" style="60"/>
    <col min="9478" max="9478" width="31" style="60" customWidth="1"/>
    <col min="9479" max="9479" width="13.28515625" style="60" customWidth="1"/>
    <col min="9480" max="9480" width="14.28515625" style="60" customWidth="1"/>
    <col min="9481" max="9481" width="15.28515625" style="60" customWidth="1"/>
    <col min="9482" max="9482" width="14.28515625" style="60" customWidth="1"/>
    <col min="9483" max="9483" width="18.140625" style="60" bestFit="1" customWidth="1"/>
    <col min="9484" max="9485" width="14.28515625" style="60" customWidth="1"/>
    <col min="9486" max="9486" width="42.5703125" style="60" customWidth="1"/>
    <col min="9487" max="9498" width="11.7109375" style="60" customWidth="1"/>
    <col min="9499" max="9501" width="12.85546875" style="60" bestFit="1" customWidth="1"/>
    <col min="9502" max="9502" width="12.42578125" style="60" bestFit="1" customWidth="1"/>
    <col min="9503" max="9503" width="13" style="60" customWidth="1"/>
    <col min="9504" max="9509" width="11.7109375" style="60" customWidth="1"/>
    <col min="9510" max="9510" width="12.85546875" style="60" bestFit="1" customWidth="1"/>
    <col min="9511" max="9514" width="13" style="60" customWidth="1"/>
    <col min="9515" max="9515" width="12.7109375" style="60" customWidth="1"/>
    <col min="9516" max="9520" width="11.7109375" style="60" customWidth="1"/>
    <col min="9521" max="9521" width="14.28515625" style="60" customWidth="1"/>
    <col min="9522" max="9522" width="11.7109375" style="60" customWidth="1"/>
    <col min="9523" max="9524" width="9.140625" style="60"/>
    <col min="9525" max="9525" width="11.7109375" style="60" customWidth="1"/>
    <col min="9526" max="9526" width="9.140625" style="60"/>
    <col min="9527" max="9527" width="9.42578125" style="60" bestFit="1" customWidth="1"/>
    <col min="9528" max="9528" width="11.5703125" style="60" bestFit="1" customWidth="1"/>
    <col min="9529" max="9733" width="9.140625" style="60"/>
    <col min="9734" max="9734" width="31" style="60" customWidth="1"/>
    <col min="9735" max="9735" width="13.28515625" style="60" customWidth="1"/>
    <col min="9736" max="9736" width="14.28515625" style="60" customWidth="1"/>
    <col min="9737" max="9737" width="15.28515625" style="60" customWidth="1"/>
    <col min="9738" max="9738" width="14.28515625" style="60" customWidth="1"/>
    <col min="9739" max="9739" width="18.140625" style="60" bestFit="1" customWidth="1"/>
    <col min="9740" max="9741" width="14.28515625" style="60" customWidth="1"/>
    <col min="9742" max="9742" width="42.5703125" style="60" customWidth="1"/>
    <col min="9743" max="9754" width="11.7109375" style="60" customWidth="1"/>
    <col min="9755" max="9757" width="12.85546875" style="60" bestFit="1" customWidth="1"/>
    <col min="9758" max="9758" width="12.42578125" style="60" bestFit="1" customWidth="1"/>
    <col min="9759" max="9759" width="13" style="60" customWidth="1"/>
    <col min="9760" max="9765" width="11.7109375" style="60" customWidth="1"/>
    <col min="9766" max="9766" width="12.85546875" style="60" bestFit="1" customWidth="1"/>
    <col min="9767" max="9770" width="13" style="60" customWidth="1"/>
    <col min="9771" max="9771" width="12.7109375" style="60" customWidth="1"/>
    <col min="9772" max="9776" width="11.7109375" style="60" customWidth="1"/>
    <col min="9777" max="9777" width="14.28515625" style="60" customWidth="1"/>
    <col min="9778" max="9778" width="11.7109375" style="60" customWidth="1"/>
    <col min="9779" max="9780" width="9.140625" style="60"/>
    <col min="9781" max="9781" width="11.7109375" style="60" customWidth="1"/>
    <col min="9782" max="9782" width="9.140625" style="60"/>
    <col min="9783" max="9783" width="9.42578125" style="60" bestFit="1" customWidth="1"/>
    <col min="9784" max="9784" width="11.5703125" style="60" bestFit="1" customWidth="1"/>
    <col min="9785" max="9989" width="9.140625" style="60"/>
    <col min="9990" max="9990" width="31" style="60" customWidth="1"/>
    <col min="9991" max="9991" width="13.28515625" style="60" customWidth="1"/>
    <col min="9992" max="9992" width="14.28515625" style="60" customWidth="1"/>
    <col min="9993" max="9993" width="15.28515625" style="60" customWidth="1"/>
    <col min="9994" max="9994" width="14.28515625" style="60" customWidth="1"/>
    <col min="9995" max="9995" width="18.140625" style="60" bestFit="1" customWidth="1"/>
    <col min="9996" max="9997" width="14.28515625" style="60" customWidth="1"/>
    <col min="9998" max="9998" width="42.5703125" style="60" customWidth="1"/>
    <col min="9999" max="10010" width="11.7109375" style="60" customWidth="1"/>
    <col min="10011" max="10013" width="12.85546875" style="60" bestFit="1" customWidth="1"/>
    <col min="10014" max="10014" width="12.42578125" style="60" bestFit="1" customWidth="1"/>
    <col min="10015" max="10015" width="13" style="60" customWidth="1"/>
    <col min="10016" max="10021" width="11.7109375" style="60" customWidth="1"/>
    <col min="10022" max="10022" width="12.85546875" style="60" bestFit="1" customWidth="1"/>
    <col min="10023" max="10026" width="13" style="60" customWidth="1"/>
    <col min="10027" max="10027" width="12.7109375" style="60" customWidth="1"/>
    <col min="10028" max="10032" width="11.7109375" style="60" customWidth="1"/>
    <col min="10033" max="10033" width="14.28515625" style="60" customWidth="1"/>
    <col min="10034" max="10034" width="11.7109375" style="60" customWidth="1"/>
    <col min="10035" max="10036" width="9.140625" style="60"/>
    <col min="10037" max="10037" width="11.7109375" style="60" customWidth="1"/>
    <col min="10038" max="10038" width="9.140625" style="60"/>
    <col min="10039" max="10039" width="9.42578125" style="60" bestFit="1" customWidth="1"/>
    <col min="10040" max="10040" width="11.5703125" style="60" bestFit="1" customWidth="1"/>
    <col min="10041" max="10245" width="9.140625" style="60"/>
    <col min="10246" max="10246" width="31" style="60" customWidth="1"/>
    <col min="10247" max="10247" width="13.28515625" style="60" customWidth="1"/>
    <col min="10248" max="10248" width="14.28515625" style="60" customWidth="1"/>
    <col min="10249" max="10249" width="15.28515625" style="60" customWidth="1"/>
    <col min="10250" max="10250" width="14.28515625" style="60" customWidth="1"/>
    <col min="10251" max="10251" width="18.140625" style="60" bestFit="1" customWidth="1"/>
    <col min="10252" max="10253" width="14.28515625" style="60" customWidth="1"/>
    <col min="10254" max="10254" width="42.5703125" style="60" customWidth="1"/>
    <col min="10255" max="10266" width="11.7109375" style="60" customWidth="1"/>
    <col min="10267" max="10269" width="12.85546875" style="60" bestFit="1" customWidth="1"/>
    <col min="10270" max="10270" width="12.42578125" style="60" bestFit="1" customWidth="1"/>
    <col min="10271" max="10271" width="13" style="60" customWidth="1"/>
    <col min="10272" max="10277" width="11.7109375" style="60" customWidth="1"/>
    <col min="10278" max="10278" width="12.85546875" style="60" bestFit="1" customWidth="1"/>
    <col min="10279" max="10282" width="13" style="60" customWidth="1"/>
    <col min="10283" max="10283" width="12.7109375" style="60" customWidth="1"/>
    <col min="10284" max="10288" width="11.7109375" style="60" customWidth="1"/>
    <col min="10289" max="10289" width="14.28515625" style="60" customWidth="1"/>
    <col min="10290" max="10290" width="11.7109375" style="60" customWidth="1"/>
    <col min="10291" max="10292" width="9.140625" style="60"/>
    <col min="10293" max="10293" width="11.7109375" style="60" customWidth="1"/>
    <col min="10294" max="10294" width="9.140625" style="60"/>
    <col min="10295" max="10295" width="9.42578125" style="60" bestFit="1" customWidth="1"/>
    <col min="10296" max="10296" width="11.5703125" style="60" bestFit="1" customWidth="1"/>
    <col min="10297" max="10501" width="9.140625" style="60"/>
    <col min="10502" max="10502" width="31" style="60" customWidth="1"/>
    <col min="10503" max="10503" width="13.28515625" style="60" customWidth="1"/>
    <col min="10504" max="10504" width="14.28515625" style="60" customWidth="1"/>
    <col min="10505" max="10505" width="15.28515625" style="60" customWidth="1"/>
    <col min="10506" max="10506" width="14.28515625" style="60" customWidth="1"/>
    <col min="10507" max="10507" width="18.140625" style="60" bestFit="1" customWidth="1"/>
    <col min="10508" max="10509" width="14.28515625" style="60" customWidth="1"/>
    <col min="10510" max="10510" width="42.5703125" style="60" customWidth="1"/>
    <col min="10511" max="10522" width="11.7109375" style="60" customWidth="1"/>
    <col min="10523" max="10525" width="12.85546875" style="60" bestFit="1" customWidth="1"/>
    <col min="10526" max="10526" width="12.42578125" style="60" bestFit="1" customWidth="1"/>
    <col min="10527" max="10527" width="13" style="60" customWidth="1"/>
    <col min="10528" max="10533" width="11.7109375" style="60" customWidth="1"/>
    <col min="10534" max="10534" width="12.85546875" style="60" bestFit="1" customWidth="1"/>
    <col min="10535" max="10538" width="13" style="60" customWidth="1"/>
    <col min="10539" max="10539" width="12.7109375" style="60" customWidth="1"/>
    <col min="10540" max="10544" width="11.7109375" style="60" customWidth="1"/>
    <col min="10545" max="10545" width="14.28515625" style="60" customWidth="1"/>
    <col min="10546" max="10546" width="11.7109375" style="60" customWidth="1"/>
    <col min="10547" max="10548" width="9.140625" style="60"/>
    <col min="10549" max="10549" width="11.7109375" style="60" customWidth="1"/>
    <col min="10550" max="10550" width="9.140625" style="60"/>
    <col min="10551" max="10551" width="9.42578125" style="60" bestFit="1" customWidth="1"/>
    <col min="10552" max="10552" width="11.5703125" style="60" bestFit="1" customWidth="1"/>
    <col min="10553" max="10757" width="9.140625" style="60"/>
    <col min="10758" max="10758" width="31" style="60" customWidth="1"/>
    <col min="10759" max="10759" width="13.28515625" style="60" customWidth="1"/>
    <col min="10760" max="10760" width="14.28515625" style="60" customWidth="1"/>
    <col min="10761" max="10761" width="15.28515625" style="60" customWidth="1"/>
    <col min="10762" max="10762" width="14.28515625" style="60" customWidth="1"/>
    <col min="10763" max="10763" width="18.140625" style="60" bestFit="1" customWidth="1"/>
    <col min="10764" max="10765" width="14.28515625" style="60" customWidth="1"/>
    <col min="10766" max="10766" width="42.5703125" style="60" customWidth="1"/>
    <col min="10767" max="10778" width="11.7109375" style="60" customWidth="1"/>
    <col min="10779" max="10781" width="12.85546875" style="60" bestFit="1" customWidth="1"/>
    <col min="10782" max="10782" width="12.42578125" style="60" bestFit="1" customWidth="1"/>
    <col min="10783" max="10783" width="13" style="60" customWidth="1"/>
    <col min="10784" max="10789" width="11.7109375" style="60" customWidth="1"/>
    <col min="10790" max="10790" width="12.85546875" style="60" bestFit="1" customWidth="1"/>
    <col min="10791" max="10794" width="13" style="60" customWidth="1"/>
    <col min="10795" max="10795" width="12.7109375" style="60" customWidth="1"/>
    <col min="10796" max="10800" width="11.7109375" style="60" customWidth="1"/>
    <col min="10801" max="10801" width="14.28515625" style="60" customWidth="1"/>
    <col min="10802" max="10802" width="11.7109375" style="60" customWidth="1"/>
    <col min="10803" max="10804" width="9.140625" style="60"/>
    <col min="10805" max="10805" width="11.7109375" style="60" customWidth="1"/>
    <col min="10806" max="10806" width="9.140625" style="60"/>
    <col min="10807" max="10807" width="9.42578125" style="60" bestFit="1" customWidth="1"/>
    <col min="10808" max="10808" width="11.5703125" style="60" bestFit="1" customWidth="1"/>
    <col min="10809" max="11013" width="9.140625" style="60"/>
    <col min="11014" max="11014" width="31" style="60" customWidth="1"/>
    <col min="11015" max="11015" width="13.28515625" style="60" customWidth="1"/>
    <col min="11016" max="11016" width="14.28515625" style="60" customWidth="1"/>
    <col min="11017" max="11017" width="15.28515625" style="60" customWidth="1"/>
    <col min="11018" max="11018" width="14.28515625" style="60" customWidth="1"/>
    <col min="11019" max="11019" width="18.140625" style="60" bestFit="1" customWidth="1"/>
    <col min="11020" max="11021" width="14.28515625" style="60" customWidth="1"/>
    <col min="11022" max="11022" width="42.5703125" style="60" customWidth="1"/>
    <col min="11023" max="11034" width="11.7109375" style="60" customWidth="1"/>
    <col min="11035" max="11037" width="12.85546875" style="60" bestFit="1" customWidth="1"/>
    <col min="11038" max="11038" width="12.42578125" style="60" bestFit="1" customWidth="1"/>
    <col min="11039" max="11039" width="13" style="60" customWidth="1"/>
    <col min="11040" max="11045" width="11.7109375" style="60" customWidth="1"/>
    <col min="11046" max="11046" width="12.85546875" style="60" bestFit="1" customWidth="1"/>
    <col min="11047" max="11050" width="13" style="60" customWidth="1"/>
    <col min="11051" max="11051" width="12.7109375" style="60" customWidth="1"/>
    <col min="11052" max="11056" width="11.7109375" style="60" customWidth="1"/>
    <col min="11057" max="11057" width="14.28515625" style="60" customWidth="1"/>
    <col min="11058" max="11058" width="11.7109375" style="60" customWidth="1"/>
    <col min="11059" max="11060" width="9.140625" style="60"/>
    <col min="11061" max="11061" width="11.7109375" style="60" customWidth="1"/>
    <col min="11062" max="11062" width="9.140625" style="60"/>
    <col min="11063" max="11063" width="9.42578125" style="60" bestFit="1" customWidth="1"/>
    <col min="11064" max="11064" width="11.5703125" style="60" bestFit="1" customWidth="1"/>
    <col min="11065" max="11269" width="9.140625" style="60"/>
    <col min="11270" max="11270" width="31" style="60" customWidth="1"/>
    <col min="11271" max="11271" width="13.28515625" style="60" customWidth="1"/>
    <col min="11272" max="11272" width="14.28515625" style="60" customWidth="1"/>
    <col min="11273" max="11273" width="15.28515625" style="60" customWidth="1"/>
    <col min="11274" max="11274" width="14.28515625" style="60" customWidth="1"/>
    <col min="11275" max="11275" width="18.140625" style="60" bestFit="1" customWidth="1"/>
    <col min="11276" max="11277" width="14.28515625" style="60" customWidth="1"/>
    <col min="11278" max="11278" width="42.5703125" style="60" customWidth="1"/>
    <col min="11279" max="11290" width="11.7109375" style="60" customWidth="1"/>
    <col min="11291" max="11293" width="12.85546875" style="60" bestFit="1" customWidth="1"/>
    <col min="11294" max="11294" width="12.42578125" style="60" bestFit="1" customWidth="1"/>
    <col min="11295" max="11295" width="13" style="60" customWidth="1"/>
    <col min="11296" max="11301" width="11.7109375" style="60" customWidth="1"/>
    <col min="11302" max="11302" width="12.85546875" style="60" bestFit="1" customWidth="1"/>
    <col min="11303" max="11306" width="13" style="60" customWidth="1"/>
    <col min="11307" max="11307" width="12.7109375" style="60" customWidth="1"/>
    <col min="11308" max="11312" width="11.7109375" style="60" customWidth="1"/>
    <col min="11313" max="11313" width="14.28515625" style="60" customWidth="1"/>
    <col min="11314" max="11314" width="11.7109375" style="60" customWidth="1"/>
    <col min="11315" max="11316" width="9.140625" style="60"/>
    <col min="11317" max="11317" width="11.7109375" style="60" customWidth="1"/>
    <col min="11318" max="11318" width="9.140625" style="60"/>
    <col min="11319" max="11319" width="9.42578125" style="60" bestFit="1" customWidth="1"/>
    <col min="11320" max="11320" width="11.5703125" style="60" bestFit="1" customWidth="1"/>
    <col min="11321" max="11525" width="9.140625" style="60"/>
    <col min="11526" max="11526" width="31" style="60" customWidth="1"/>
    <col min="11527" max="11527" width="13.28515625" style="60" customWidth="1"/>
    <col min="11528" max="11528" width="14.28515625" style="60" customWidth="1"/>
    <col min="11529" max="11529" width="15.28515625" style="60" customWidth="1"/>
    <col min="11530" max="11530" width="14.28515625" style="60" customWidth="1"/>
    <col min="11531" max="11531" width="18.140625" style="60" bestFit="1" customWidth="1"/>
    <col min="11532" max="11533" width="14.28515625" style="60" customWidth="1"/>
    <col min="11534" max="11534" width="42.5703125" style="60" customWidth="1"/>
    <col min="11535" max="11546" width="11.7109375" style="60" customWidth="1"/>
    <col min="11547" max="11549" width="12.85546875" style="60" bestFit="1" customWidth="1"/>
    <col min="11550" max="11550" width="12.42578125" style="60" bestFit="1" customWidth="1"/>
    <col min="11551" max="11551" width="13" style="60" customWidth="1"/>
    <col min="11552" max="11557" width="11.7109375" style="60" customWidth="1"/>
    <col min="11558" max="11558" width="12.85546875" style="60" bestFit="1" customWidth="1"/>
    <col min="11559" max="11562" width="13" style="60" customWidth="1"/>
    <col min="11563" max="11563" width="12.7109375" style="60" customWidth="1"/>
    <col min="11564" max="11568" width="11.7109375" style="60" customWidth="1"/>
    <col min="11569" max="11569" width="14.28515625" style="60" customWidth="1"/>
    <col min="11570" max="11570" width="11.7109375" style="60" customWidth="1"/>
    <col min="11571" max="11572" width="9.140625" style="60"/>
    <col min="11573" max="11573" width="11.7109375" style="60" customWidth="1"/>
    <col min="11574" max="11574" width="9.140625" style="60"/>
    <col min="11575" max="11575" width="9.42578125" style="60" bestFit="1" customWidth="1"/>
    <col min="11576" max="11576" width="11.5703125" style="60" bestFit="1" customWidth="1"/>
    <col min="11577" max="11781" width="9.140625" style="60"/>
    <col min="11782" max="11782" width="31" style="60" customWidth="1"/>
    <col min="11783" max="11783" width="13.28515625" style="60" customWidth="1"/>
    <col min="11784" max="11784" width="14.28515625" style="60" customWidth="1"/>
    <col min="11785" max="11785" width="15.28515625" style="60" customWidth="1"/>
    <col min="11786" max="11786" width="14.28515625" style="60" customWidth="1"/>
    <col min="11787" max="11787" width="18.140625" style="60" bestFit="1" customWidth="1"/>
    <col min="11788" max="11789" width="14.28515625" style="60" customWidth="1"/>
    <col min="11790" max="11790" width="42.5703125" style="60" customWidth="1"/>
    <col min="11791" max="11802" width="11.7109375" style="60" customWidth="1"/>
    <col min="11803" max="11805" width="12.85546875" style="60" bestFit="1" customWidth="1"/>
    <col min="11806" max="11806" width="12.42578125" style="60" bestFit="1" customWidth="1"/>
    <col min="11807" max="11807" width="13" style="60" customWidth="1"/>
    <col min="11808" max="11813" width="11.7109375" style="60" customWidth="1"/>
    <col min="11814" max="11814" width="12.85546875" style="60" bestFit="1" customWidth="1"/>
    <col min="11815" max="11818" width="13" style="60" customWidth="1"/>
    <col min="11819" max="11819" width="12.7109375" style="60" customWidth="1"/>
    <col min="11820" max="11824" width="11.7109375" style="60" customWidth="1"/>
    <col min="11825" max="11825" width="14.28515625" style="60" customWidth="1"/>
    <col min="11826" max="11826" width="11.7109375" style="60" customWidth="1"/>
    <col min="11827" max="11828" width="9.140625" style="60"/>
    <col min="11829" max="11829" width="11.7109375" style="60" customWidth="1"/>
    <col min="11830" max="11830" width="9.140625" style="60"/>
    <col min="11831" max="11831" width="9.42578125" style="60" bestFit="1" customWidth="1"/>
    <col min="11832" max="11832" width="11.5703125" style="60" bestFit="1" customWidth="1"/>
    <col min="11833" max="12037" width="9.140625" style="60"/>
    <col min="12038" max="12038" width="31" style="60" customWidth="1"/>
    <col min="12039" max="12039" width="13.28515625" style="60" customWidth="1"/>
    <col min="12040" max="12040" width="14.28515625" style="60" customWidth="1"/>
    <col min="12041" max="12041" width="15.28515625" style="60" customWidth="1"/>
    <col min="12042" max="12042" width="14.28515625" style="60" customWidth="1"/>
    <col min="12043" max="12043" width="18.140625" style="60" bestFit="1" customWidth="1"/>
    <col min="12044" max="12045" width="14.28515625" style="60" customWidth="1"/>
    <col min="12046" max="12046" width="42.5703125" style="60" customWidth="1"/>
    <col min="12047" max="12058" width="11.7109375" style="60" customWidth="1"/>
    <col min="12059" max="12061" width="12.85546875" style="60" bestFit="1" customWidth="1"/>
    <col min="12062" max="12062" width="12.42578125" style="60" bestFit="1" customWidth="1"/>
    <col min="12063" max="12063" width="13" style="60" customWidth="1"/>
    <col min="12064" max="12069" width="11.7109375" style="60" customWidth="1"/>
    <col min="12070" max="12070" width="12.85546875" style="60" bestFit="1" customWidth="1"/>
    <col min="12071" max="12074" width="13" style="60" customWidth="1"/>
    <col min="12075" max="12075" width="12.7109375" style="60" customWidth="1"/>
    <col min="12076" max="12080" width="11.7109375" style="60" customWidth="1"/>
    <col min="12081" max="12081" width="14.28515625" style="60" customWidth="1"/>
    <col min="12082" max="12082" width="11.7109375" style="60" customWidth="1"/>
    <col min="12083" max="12084" width="9.140625" style="60"/>
    <col min="12085" max="12085" width="11.7109375" style="60" customWidth="1"/>
    <col min="12086" max="12086" width="9.140625" style="60"/>
    <col min="12087" max="12087" width="9.42578125" style="60" bestFit="1" customWidth="1"/>
    <col min="12088" max="12088" width="11.5703125" style="60" bestFit="1" customWidth="1"/>
    <col min="12089" max="12293" width="9.140625" style="60"/>
    <col min="12294" max="12294" width="31" style="60" customWidth="1"/>
    <col min="12295" max="12295" width="13.28515625" style="60" customWidth="1"/>
    <col min="12296" max="12296" width="14.28515625" style="60" customWidth="1"/>
    <col min="12297" max="12297" width="15.28515625" style="60" customWidth="1"/>
    <col min="12298" max="12298" width="14.28515625" style="60" customWidth="1"/>
    <col min="12299" max="12299" width="18.140625" style="60" bestFit="1" customWidth="1"/>
    <col min="12300" max="12301" width="14.28515625" style="60" customWidth="1"/>
    <col min="12302" max="12302" width="42.5703125" style="60" customWidth="1"/>
    <col min="12303" max="12314" width="11.7109375" style="60" customWidth="1"/>
    <col min="12315" max="12317" width="12.85546875" style="60" bestFit="1" customWidth="1"/>
    <col min="12318" max="12318" width="12.42578125" style="60" bestFit="1" customWidth="1"/>
    <col min="12319" max="12319" width="13" style="60" customWidth="1"/>
    <col min="12320" max="12325" width="11.7109375" style="60" customWidth="1"/>
    <col min="12326" max="12326" width="12.85546875" style="60" bestFit="1" customWidth="1"/>
    <col min="12327" max="12330" width="13" style="60" customWidth="1"/>
    <col min="12331" max="12331" width="12.7109375" style="60" customWidth="1"/>
    <col min="12332" max="12336" width="11.7109375" style="60" customWidth="1"/>
    <col min="12337" max="12337" width="14.28515625" style="60" customWidth="1"/>
    <col min="12338" max="12338" width="11.7109375" style="60" customWidth="1"/>
    <col min="12339" max="12340" width="9.140625" style="60"/>
    <col min="12341" max="12341" width="11.7109375" style="60" customWidth="1"/>
    <col min="12342" max="12342" width="9.140625" style="60"/>
    <col min="12343" max="12343" width="9.42578125" style="60" bestFit="1" customWidth="1"/>
    <col min="12344" max="12344" width="11.5703125" style="60" bestFit="1" customWidth="1"/>
    <col min="12345" max="12549" width="9.140625" style="60"/>
    <col min="12550" max="12550" width="31" style="60" customWidth="1"/>
    <col min="12551" max="12551" width="13.28515625" style="60" customWidth="1"/>
    <col min="12552" max="12552" width="14.28515625" style="60" customWidth="1"/>
    <col min="12553" max="12553" width="15.28515625" style="60" customWidth="1"/>
    <col min="12554" max="12554" width="14.28515625" style="60" customWidth="1"/>
    <col min="12555" max="12555" width="18.140625" style="60" bestFit="1" customWidth="1"/>
    <col min="12556" max="12557" width="14.28515625" style="60" customWidth="1"/>
    <col min="12558" max="12558" width="42.5703125" style="60" customWidth="1"/>
    <col min="12559" max="12570" width="11.7109375" style="60" customWidth="1"/>
    <col min="12571" max="12573" width="12.85546875" style="60" bestFit="1" customWidth="1"/>
    <col min="12574" max="12574" width="12.42578125" style="60" bestFit="1" customWidth="1"/>
    <col min="12575" max="12575" width="13" style="60" customWidth="1"/>
    <col min="12576" max="12581" width="11.7109375" style="60" customWidth="1"/>
    <col min="12582" max="12582" width="12.85546875" style="60" bestFit="1" customWidth="1"/>
    <col min="12583" max="12586" width="13" style="60" customWidth="1"/>
    <col min="12587" max="12587" width="12.7109375" style="60" customWidth="1"/>
    <col min="12588" max="12592" width="11.7109375" style="60" customWidth="1"/>
    <col min="12593" max="12593" width="14.28515625" style="60" customWidth="1"/>
    <col min="12594" max="12594" width="11.7109375" style="60" customWidth="1"/>
    <col min="12595" max="12596" width="9.140625" style="60"/>
    <col min="12597" max="12597" width="11.7109375" style="60" customWidth="1"/>
    <col min="12598" max="12598" width="9.140625" style="60"/>
    <col min="12599" max="12599" width="9.42578125" style="60" bestFit="1" customWidth="1"/>
    <col min="12600" max="12600" width="11.5703125" style="60" bestFit="1" customWidth="1"/>
    <col min="12601" max="12805" width="9.140625" style="60"/>
    <col min="12806" max="12806" width="31" style="60" customWidth="1"/>
    <col min="12807" max="12807" width="13.28515625" style="60" customWidth="1"/>
    <col min="12808" max="12808" width="14.28515625" style="60" customWidth="1"/>
    <col min="12809" max="12809" width="15.28515625" style="60" customWidth="1"/>
    <col min="12810" max="12810" width="14.28515625" style="60" customWidth="1"/>
    <col min="12811" max="12811" width="18.140625" style="60" bestFit="1" customWidth="1"/>
    <col min="12812" max="12813" width="14.28515625" style="60" customWidth="1"/>
    <col min="12814" max="12814" width="42.5703125" style="60" customWidth="1"/>
    <col min="12815" max="12826" width="11.7109375" style="60" customWidth="1"/>
    <col min="12827" max="12829" width="12.85546875" style="60" bestFit="1" customWidth="1"/>
    <col min="12830" max="12830" width="12.42578125" style="60" bestFit="1" customWidth="1"/>
    <col min="12831" max="12831" width="13" style="60" customWidth="1"/>
    <col min="12832" max="12837" width="11.7109375" style="60" customWidth="1"/>
    <col min="12838" max="12838" width="12.85546875" style="60" bestFit="1" customWidth="1"/>
    <col min="12839" max="12842" width="13" style="60" customWidth="1"/>
    <col min="12843" max="12843" width="12.7109375" style="60" customWidth="1"/>
    <col min="12844" max="12848" width="11.7109375" style="60" customWidth="1"/>
    <col min="12849" max="12849" width="14.28515625" style="60" customWidth="1"/>
    <col min="12850" max="12850" width="11.7109375" style="60" customWidth="1"/>
    <col min="12851" max="12852" width="9.140625" style="60"/>
    <col min="12853" max="12853" width="11.7109375" style="60" customWidth="1"/>
    <col min="12854" max="12854" width="9.140625" style="60"/>
    <col min="12855" max="12855" width="9.42578125" style="60" bestFit="1" customWidth="1"/>
    <col min="12856" max="12856" width="11.5703125" style="60" bestFit="1" customWidth="1"/>
    <col min="12857" max="13061" width="9.140625" style="60"/>
    <col min="13062" max="13062" width="31" style="60" customWidth="1"/>
    <col min="13063" max="13063" width="13.28515625" style="60" customWidth="1"/>
    <col min="13064" max="13064" width="14.28515625" style="60" customWidth="1"/>
    <col min="13065" max="13065" width="15.28515625" style="60" customWidth="1"/>
    <col min="13066" max="13066" width="14.28515625" style="60" customWidth="1"/>
    <col min="13067" max="13067" width="18.140625" style="60" bestFit="1" customWidth="1"/>
    <col min="13068" max="13069" width="14.28515625" style="60" customWidth="1"/>
    <col min="13070" max="13070" width="42.5703125" style="60" customWidth="1"/>
    <col min="13071" max="13082" width="11.7109375" style="60" customWidth="1"/>
    <col min="13083" max="13085" width="12.85546875" style="60" bestFit="1" customWidth="1"/>
    <col min="13086" max="13086" width="12.42578125" style="60" bestFit="1" customWidth="1"/>
    <col min="13087" max="13087" width="13" style="60" customWidth="1"/>
    <col min="13088" max="13093" width="11.7109375" style="60" customWidth="1"/>
    <col min="13094" max="13094" width="12.85546875" style="60" bestFit="1" customWidth="1"/>
    <col min="13095" max="13098" width="13" style="60" customWidth="1"/>
    <col min="13099" max="13099" width="12.7109375" style="60" customWidth="1"/>
    <col min="13100" max="13104" width="11.7109375" style="60" customWidth="1"/>
    <col min="13105" max="13105" width="14.28515625" style="60" customWidth="1"/>
    <col min="13106" max="13106" width="11.7109375" style="60" customWidth="1"/>
    <col min="13107" max="13108" width="9.140625" style="60"/>
    <col min="13109" max="13109" width="11.7109375" style="60" customWidth="1"/>
    <col min="13110" max="13110" width="9.140625" style="60"/>
    <col min="13111" max="13111" width="9.42578125" style="60" bestFit="1" customWidth="1"/>
    <col min="13112" max="13112" width="11.5703125" style="60" bestFit="1" customWidth="1"/>
    <col min="13113" max="13317" width="9.140625" style="60"/>
    <col min="13318" max="13318" width="31" style="60" customWidth="1"/>
    <col min="13319" max="13319" width="13.28515625" style="60" customWidth="1"/>
    <col min="13320" max="13320" width="14.28515625" style="60" customWidth="1"/>
    <col min="13321" max="13321" width="15.28515625" style="60" customWidth="1"/>
    <col min="13322" max="13322" width="14.28515625" style="60" customWidth="1"/>
    <col min="13323" max="13323" width="18.140625" style="60" bestFit="1" customWidth="1"/>
    <col min="13324" max="13325" width="14.28515625" style="60" customWidth="1"/>
    <col min="13326" max="13326" width="42.5703125" style="60" customWidth="1"/>
    <col min="13327" max="13338" width="11.7109375" style="60" customWidth="1"/>
    <col min="13339" max="13341" width="12.85546875" style="60" bestFit="1" customWidth="1"/>
    <col min="13342" max="13342" width="12.42578125" style="60" bestFit="1" customWidth="1"/>
    <col min="13343" max="13343" width="13" style="60" customWidth="1"/>
    <col min="13344" max="13349" width="11.7109375" style="60" customWidth="1"/>
    <col min="13350" max="13350" width="12.85546875" style="60" bestFit="1" customWidth="1"/>
    <col min="13351" max="13354" width="13" style="60" customWidth="1"/>
    <col min="13355" max="13355" width="12.7109375" style="60" customWidth="1"/>
    <col min="13356" max="13360" width="11.7109375" style="60" customWidth="1"/>
    <col min="13361" max="13361" width="14.28515625" style="60" customWidth="1"/>
    <col min="13362" max="13362" width="11.7109375" style="60" customWidth="1"/>
    <col min="13363" max="13364" width="9.140625" style="60"/>
    <col min="13365" max="13365" width="11.7109375" style="60" customWidth="1"/>
    <col min="13366" max="13366" width="9.140625" style="60"/>
    <col min="13367" max="13367" width="9.42578125" style="60" bestFit="1" customWidth="1"/>
    <col min="13368" max="13368" width="11.5703125" style="60" bestFit="1" customWidth="1"/>
    <col min="13369" max="13573" width="9.140625" style="60"/>
    <col min="13574" max="13574" width="31" style="60" customWidth="1"/>
    <col min="13575" max="13575" width="13.28515625" style="60" customWidth="1"/>
    <col min="13576" max="13576" width="14.28515625" style="60" customWidth="1"/>
    <col min="13577" max="13577" width="15.28515625" style="60" customWidth="1"/>
    <col min="13578" max="13578" width="14.28515625" style="60" customWidth="1"/>
    <col min="13579" max="13579" width="18.140625" style="60" bestFit="1" customWidth="1"/>
    <col min="13580" max="13581" width="14.28515625" style="60" customWidth="1"/>
    <col min="13582" max="13582" width="42.5703125" style="60" customWidth="1"/>
    <col min="13583" max="13594" width="11.7109375" style="60" customWidth="1"/>
    <col min="13595" max="13597" width="12.85546875" style="60" bestFit="1" customWidth="1"/>
    <col min="13598" max="13598" width="12.42578125" style="60" bestFit="1" customWidth="1"/>
    <col min="13599" max="13599" width="13" style="60" customWidth="1"/>
    <col min="13600" max="13605" width="11.7109375" style="60" customWidth="1"/>
    <col min="13606" max="13606" width="12.85546875" style="60" bestFit="1" customWidth="1"/>
    <col min="13607" max="13610" width="13" style="60" customWidth="1"/>
    <col min="13611" max="13611" width="12.7109375" style="60" customWidth="1"/>
    <col min="13612" max="13616" width="11.7109375" style="60" customWidth="1"/>
    <col min="13617" max="13617" width="14.28515625" style="60" customWidth="1"/>
    <col min="13618" max="13618" width="11.7109375" style="60" customWidth="1"/>
    <col min="13619" max="13620" width="9.140625" style="60"/>
    <col min="13621" max="13621" width="11.7109375" style="60" customWidth="1"/>
    <col min="13622" max="13622" width="9.140625" style="60"/>
    <col min="13623" max="13623" width="9.42578125" style="60" bestFit="1" customWidth="1"/>
    <col min="13624" max="13624" width="11.5703125" style="60" bestFit="1" customWidth="1"/>
    <col min="13625" max="13829" width="9.140625" style="60"/>
    <col min="13830" max="13830" width="31" style="60" customWidth="1"/>
    <col min="13831" max="13831" width="13.28515625" style="60" customWidth="1"/>
    <col min="13832" max="13832" width="14.28515625" style="60" customWidth="1"/>
    <col min="13833" max="13833" width="15.28515625" style="60" customWidth="1"/>
    <col min="13834" max="13834" width="14.28515625" style="60" customWidth="1"/>
    <col min="13835" max="13835" width="18.140625" style="60" bestFit="1" customWidth="1"/>
    <col min="13836" max="13837" width="14.28515625" style="60" customWidth="1"/>
    <col min="13838" max="13838" width="42.5703125" style="60" customWidth="1"/>
    <col min="13839" max="13850" width="11.7109375" style="60" customWidth="1"/>
    <col min="13851" max="13853" width="12.85546875" style="60" bestFit="1" customWidth="1"/>
    <col min="13854" max="13854" width="12.42578125" style="60" bestFit="1" customWidth="1"/>
    <col min="13855" max="13855" width="13" style="60" customWidth="1"/>
    <col min="13856" max="13861" width="11.7109375" style="60" customWidth="1"/>
    <col min="13862" max="13862" width="12.85546875" style="60" bestFit="1" customWidth="1"/>
    <col min="13863" max="13866" width="13" style="60" customWidth="1"/>
    <col min="13867" max="13867" width="12.7109375" style="60" customWidth="1"/>
    <col min="13868" max="13872" width="11.7109375" style="60" customWidth="1"/>
    <col min="13873" max="13873" width="14.28515625" style="60" customWidth="1"/>
    <col min="13874" max="13874" width="11.7109375" style="60" customWidth="1"/>
    <col min="13875" max="13876" width="9.140625" style="60"/>
    <col min="13877" max="13877" width="11.7109375" style="60" customWidth="1"/>
    <col min="13878" max="13878" width="9.140625" style="60"/>
    <col min="13879" max="13879" width="9.42578125" style="60" bestFit="1" customWidth="1"/>
    <col min="13880" max="13880" width="11.5703125" style="60" bestFit="1" customWidth="1"/>
    <col min="13881" max="14085" width="9.140625" style="60"/>
    <col min="14086" max="14086" width="31" style="60" customWidth="1"/>
    <col min="14087" max="14087" width="13.28515625" style="60" customWidth="1"/>
    <col min="14088" max="14088" width="14.28515625" style="60" customWidth="1"/>
    <col min="14089" max="14089" width="15.28515625" style="60" customWidth="1"/>
    <col min="14090" max="14090" width="14.28515625" style="60" customWidth="1"/>
    <col min="14091" max="14091" width="18.140625" style="60" bestFit="1" customWidth="1"/>
    <col min="14092" max="14093" width="14.28515625" style="60" customWidth="1"/>
    <col min="14094" max="14094" width="42.5703125" style="60" customWidth="1"/>
    <col min="14095" max="14106" width="11.7109375" style="60" customWidth="1"/>
    <col min="14107" max="14109" width="12.85546875" style="60" bestFit="1" customWidth="1"/>
    <col min="14110" max="14110" width="12.42578125" style="60" bestFit="1" customWidth="1"/>
    <col min="14111" max="14111" width="13" style="60" customWidth="1"/>
    <col min="14112" max="14117" width="11.7109375" style="60" customWidth="1"/>
    <col min="14118" max="14118" width="12.85546875" style="60" bestFit="1" customWidth="1"/>
    <col min="14119" max="14122" width="13" style="60" customWidth="1"/>
    <col min="14123" max="14123" width="12.7109375" style="60" customWidth="1"/>
    <col min="14124" max="14128" width="11.7109375" style="60" customWidth="1"/>
    <col min="14129" max="14129" width="14.28515625" style="60" customWidth="1"/>
    <col min="14130" max="14130" width="11.7109375" style="60" customWidth="1"/>
    <col min="14131" max="14132" width="9.140625" style="60"/>
    <col min="14133" max="14133" width="11.7109375" style="60" customWidth="1"/>
    <col min="14134" max="14134" width="9.140625" style="60"/>
    <col min="14135" max="14135" width="9.42578125" style="60" bestFit="1" customWidth="1"/>
    <col min="14136" max="14136" width="11.5703125" style="60" bestFit="1" customWidth="1"/>
    <col min="14137" max="14341" width="9.140625" style="60"/>
    <col min="14342" max="14342" width="31" style="60" customWidth="1"/>
    <col min="14343" max="14343" width="13.28515625" style="60" customWidth="1"/>
    <col min="14344" max="14344" width="14.28515625" style="60" customWidth="1"/>
    <col min="14345" max="14345" width="15.28515625" style="60" customWidth="1"/>
    <col min="14346" max="14346" width="14.28515625" style="60" customWidth="1"/>
    <col min="14347" max="14347" width="18.140625" style="60" bestFit="1" customWidth="1"/>
    <col min="14348" max="14349" width="14.28515625" style="60" customWidth="1"/>
    <col min="14350" max="14350" width="42.5703125" style="60" customWidth="1"/>
    <col min="14351" max="14362" width="11.7109375" style="60" customWidth="1"/>
    <col min="14363" max="14365" width="12.85546875" style="60" bestFit="1" customWidth="1"/>
    <col min="14366" max="14366" width="12.42578125" style="60" bestFit="1" customWidth="1"/>
    <col min="14367" max="14367" width="13" style="60" customWidth="1"/>
    <col min="14368" max="14373" width="11.7109375" style="60" customWidth="1"/>
    <col min="14374" max="14374" width="12.85546875" style="60" bestFit="1" customWidth="1"/>
    <col min="14375" max="14378" width="13" style="60" customWidth="1"/>
    <col min="14379" max="14379" width="12.7109375" style="60" customWidth="1"/>
    <col min="14380" max="14384" width="11.7109375" style="60" customWidth="1"/>
    <col min="14385" max="14385" width="14.28515625" style="60" customWidth="1"/>
    <col min="14386" max="14386" width="11.7109375" style="60" customWidth="1"/>
    <col min="14387" max="14388" width="9.140625" style="60"/>
    <col min="14389" max="14389" width="11.7109375" style="60" customWidth="1"/>
    <col min="14390" max="14390" width="9.140625" style="60"/>
    <col min="14391" max="14391" width="9.42578125" style="60" bestFit="1" customWidth="1"/>
    <col min="14392" max="14392" width="11.5703125" style="60" bestFit="1" customWidth="1"/>
    <col min="14393" max="14597" width="9.140625" style="60"/>
    <col min="14598" max="14598" width="31" style="60" customWidth="1"/>
    <col min="14599" max="14599" width="13.28515625" style="60" customWidth="1"/>
    <col min="14600" max="14600" width="14.28515625" style="60" customWidth="1"/>
    <col min="14601" max="14601" width="15.28515625" style="60" customWidth="1"/>
    <col min="14602" max="14602" width="14.28515625" style="60" customWidth="1"/>
    <col min="14603" max="14603" width="18.140625" style="60" bestFit="1" customWidth="1"/>
    <col min="14604" max="14605" width="14.28515625" style="60" customWidth="1"/>
    <col min="14606" max="14606" width="42.5703125" style="60" customWidth="1"/>
    <col min="14607" max="14618" width="11.7109375" style="60" customWidth="1"/>
    <col min="14619" max="14621" width="12.85546875" style="60" bestFit="1" customWidth="1"/>
    <col min="14622" max="14622" width="12.42578125" style="60" bestFit="1" customWidth="1"/>
    <col min="14623" max="14623" width="13" style="60" customWidth="1"/>
    <col min="14624" max="14629" width="11.7109375" style="60" customWidth="1"/>
    <col min="14630" max="14630" width="12.85546875" style="60" bestFit="1" customWidth="1"/>
    <col min="14631" max="14634" width="13" style="60" customWidth="1"/>
    <col min="14635" max="14635" width="12.7109375" style="60" customWidth="1"/>
    <col min="14636" max="14640" width="11.7109375" style="60" customWidth="1"/>
    <col min="14641" max="14641" width="14.28515625" style="60" customWidth="1"/>
    <col min="14642" max="14642" width="11.7109375" style="60" customWidth="1"/>
    <col min="14643" max="14644" width="9.140625" style="60"/>
    <col min="14645" max="14645" width="11.7109375" style="60" customWidth="1"/>
    <col min="14646" max="14646" width="9.140625" style="60"/>
    <col min="14647" max="14647" width="9.42578125" style="60" bestFit="1" customWidth="1"/>
    <col min="14648" max="14648" width="11.5703125" style="60" bestFit="1" customWidth="1"/>
    <col min="14649" max="14853" width="9.140625" style="60"/>
    <col min="14854" max="14854" width="31" style="60" customWidth="1"/>
    <col min="14855" max="14855" width="13.28515625" style="60" customWidth="1"/>
    <col min="14856" max="14856" width="14.28515625" style="60" customWidth="1"/>
    <col min="14857" max="14857" width="15.28515625" style="60" customWidth="1"/>
    <col min="14858" max="14858" width="14.28515625" style="60" customWidth="1"/>
    <col min="14859" max="14859" width="18.140625" style="60" bestFit="1" customWidth="1"/>
    <col min="14860" max="14861" width="14.28515625" style="60" customWidth="1"/>
    <col min="14862" max="14862" width="42.5703125" style="60" customWidth="1"/>
    <col min="14863" max="14874" width="11.7109375" style="60" customWidth="1"/>
    <col min="14875" max="14877" width="12.85546875" style="60" bestFit="1" customWidth="1"/>
    <col min="14878" max="14878" width="12.42578125" style="60" bestFit="1" customWidth="1"/>
    <col min="14879" max="14879" width="13" style="60" customWidth="1"/>
    <col min="14880" max="14885" width="11.7109375" style="60" customWidth="1"/>
    <col min="14886" max="14886" width="12.85546875" style="60" bestFit="1" customWidth="1"/>
    <col min="14887" max="14890" width="13" style="60" customWidth="1"/>
    <col min="14891" max="14891" width="12.7109375" style="60" customWidth="1"/>
    <col min="14892" max="14896" width="11.7109375" style="60" customWidth="1"/>
    <col min="14897" max="14897" width="14.28515625" style="60" customWidth="1"/>
    <col min="14898" max="14898" width="11.7109375" style="60" customWidth="1"/>
    <col min="14899" max="14900" width="9.140625" style="60"/>
    <col min="14901" max="14901" width="11.7109375" style="60" customWidth="1"/>
    <col min="14902" max="14902" width="9.140625" style="60"/>
    <col min="14903" max="14903" width="9.42578125" style="60" bestFit="1" customWidth="1"/>
    <col min="14904" max="14904" width="11.5703125" style="60" bestFit="1" customWidth="1"/>
    <col min="14905" max="15109" width="9.140625" style="60"/>
    <col min="15110" max="15110" width="31" style="60" customWidth="1"/>
    <col min="15111" max="15111" width="13.28515625" style="60" customWidth="1"/>
    <col min="15112" max="15112" width="14.28515625" style="60" customWidth="1"/>
    <col min="15113" max="15113" width="15.28515625" style="60" customWidth="1"/>
    <col min="15114" max="15114" width="14.28515625" style="60" customWidth="1"/>
    <col min="15115" max="15115" width="18.140625" style="60" bestFit="1" customWidth="1"/>
    <col min="15116" max="15117" width="14.28515625" style="60" customWidth="1"/>
    <col min="15118" max="15118" width="42.5703125" style="60" customWidth="1"/>
    <col min="15119" max="15130" width="11.7109375" style="60" customWidth="1"/>
    <col min="15131" max="15133" width="12.85546875" style="60" bestFit="1" customWidth="1"/>
    <col min="15134" max="15134" width="12.42578125" style="60" bestFit="1" customWidth="1"/>
    <col min="15135" max="15135" width="13" style="60" customWidth="1"/>
    <col min="15136" max="15141" width="11.7109375" style="60" customWidth="1"/>
    <col min="15142" max="15142" width="12.85546875" style="60" bestFit="1" customWidth="1"/>
    <col min="15143" max="15146" width="13" style="60" customWidth="1"/>
    <col min="15147" max="15147" width="12.7109375" style="60" customWidth="1"/>
    <col min="15148" max="15152" width="11.7109375" style="60" customWidth="1"/>
    <col min="15153" max="15153" width="14.28515625" style="60" customWidth="1"/>
    <col min="15154" max="15154" width="11.7109375" style="60" customWidth="1"/>
    <col min="15155" max="15156" width="9.140625" style="60"/>
    <col min="15157" max="15157" width="11.7109375" style="60" customWidth="1"/>
    <col min="15158" max="15158" width="9.140625" style="60"/>
    <col min="15159" max="15159" width="9.42578125" style="60" bestFit="1" customWidth="1"/>
    <col min="15160" max="15160" width="11.5703125" style="60" bestFit="1" customWidth="1"/>
    <col min="15161" max="15365" width="9.140625" style="60"/>
    <col min="15366" max="15366" width="31" style="60" customWidth="1"/>
    <col min="15367" max="15367" width="13.28515625" style="60" customWidth="1"/>
    <col min="15368" max="15368" width="14.28515625" style="60" customWidth="1"/>
    <col min="15369" max="15369" width="15.28515625" style="60" customWidth="1"/>
    <col min="15370" max="15370" width="14.28515625" style="60" customWidth="1"/>
    <col min="15371" max="15371" width="18.140625" style="60" bestFit="1" customWidth="1"/>
    <col min="15372" max="15373" width="14.28515625" style="60" customWidth="1"/>
    <col min="15374" max="15374" width="42.5703125" style="60" customWidth="1"/>
    <col min="15375" max="15386" width="11.7109375" style="60" customWidth="1"/>
    <col min="15387" max="15389" width="12.85546875" style="60" bestFit="1" customWidth="1"/>
    <col min="15390" max="15390" width="12.42578125" style="60" bestFit="1" customWidth="1"/>
    <col min="15391" max="15391" width="13" style="60" customWidth="1"/>
    <col min="15392" max="15397" width="11.7109375" style="60" customWidth="1"/>
    <col min="15398" max="15398" width="12.85546875" style="60" bestFit="1" customWidth="1"/>
    <col min="15399" max="15402" width="13" style="60" customWidth="1"/>
    <col min="15403" max="15403" width="12.7109375" style="60" customWidth="1"/>
    <col min="15404" max="15408" width="11.7109375" style="60" customWidth="1"/>
    <col min="15409" max="15409" width="14.28515625" style="60" customWidth="1"/>
    <col min="15410" max="15410" width="11.7109375" style="60" customWidth="1"/>
    <col min="15411" max="15412" width="9.140625" style="60"/>
    <col min="15413" max="15413" width="11.7109375" style="60" customWidth="1"/>
    <col min="15414" max="15414" width="9.140625" style="60"/>
    <col min="15415" max="15415" width="9.42578125" style="60" bestFit="1" customWidth="1"/>
    <col min="15416" max="15416" width="11.5703125" style="60" bestFit="1" customWidth="1"/>
    <col min="15417" max="15621" width="9.140625" style="60"/>
    <col min="15622" max="15622" width="31" style="60" customWidth="1"/>
    <col min="15623" max="15623" width="13.28515625" style="60" customWidth="1"/>
    <col min="15624" max="15624" width="14.28515625" style="60" customWidth="1"/>
    <col min="15625" max="15625" width="15.28515625" style="60" customWidth="1"/>
    <col min="15626" max="15626" width="14.28515625" style="60" customWidth="1"/>
    <col min="15627" max="15627" width="18.140625" style="60" bestFit="1" customWidth="1"/>
    <col min="15628" max="15629" width="14.28515625" style="60" customWidth="1"/>
    <col min="15630" max="15630" width="42.5703125" style="60" customWidth="1"/>
    <col min="15631" max="15642" width="11.7109375" style="60" customWidth="1"/>
    <col min="15643" max="15645" width="12.85546875" style="60" bestFit="1" customWidth="1"/>
    <col min="15646" max="15646" width="12.42578125" style="60" bestFit="1" customWidth="1"/>
    <col min="15647" max="15647" width="13" style="60" customWidth="1"/>
    <col min="15648" max="15653" width="11.7109375" style="60" customWidth="1"/>
    <col min="15654" max="15654" width="12.85546875" style="60" bestFit="1" customWidth="1"/>
    <col min="15655" max="15658" width="13" style="60" customWidth="1"/>
    <col min="15659" max="15659" width="12.7109375" style="60" customWidth="1"/>
    <col min="15660" max="15664" width="11.7109375" style="60" customWidth="1"/>
    <col min="15665" max="15665" width="14.28515625" style="60" customWidth="1"/>
    <col min="15666" max="15666" width="11.7109375" style="60" customWidth="1"/>
    <col min="15667" max="15668" width="9.140625" style="60"/>
    <col min="15669" max="15669" width="11.7109375" style="60" customWidth="1"/>
    <col min="15670" max="15670" width="9.140625" style="60"/>
    <col min="15671" max="15671" width="9.42578125" style="60" bestFit="1" customWidth="1"/>
    <col min="15672" max="15672" width="11.5703125" style="60" bestFit="1" customWidth="1"/>
    <col min="15673" max="15877" width="9.140625" style="60"/>
    <col min="15878" max="15878" width="31" style="60" customWidth="1"/>
    <col min="15879" max="15879" width="13.28515625" style="60" customWidth="1"/>
    <col min="15880" max="15880" width="14.28515625" style="60" customWidth="1"/>
    <col min="15881" max="15881" width="15.28515625" style="60" customWidth="1"/>
    <col min="15882" max="15882" width="14.28515625" style="60" customWidth="1"/>
    <col min="15883" max="15883" width="18.140625" style="60" bestFit="1" customWidth="1"/>
    <col min="15884" max="15885" width="14.28515625" style="60" customWidth="1"/>
    <col min="15886" max="15886" width="42.5703125" style="60" customWidth="1"/>
    <col min="15887" max="15898" width="11.7109375" style="60" customWidth="1"/>
    <col min="15899" max="15901" width="12.85546875" style="60" bestFit="1" customWidth="1"/>
    <col min="15902" max="15902" width="12.42578125" style="60" bestFit="1" customWidth="1"/>
    <col min="15903" max="15903" width="13" style="60" customWidth="1"/>
    <col min="15904" max="15909" width="11.7109375" style="60" customWidth="1"/>
    <col min="15910" max="15910" width="12.85546875" style="60" bestFit="1" customWidth="1"/>
    <col min="15911" max="15914" width="13" style="60" customWidth="1"/>
    <col min="15915" max="15915" width="12.7109375" style="60" customWidth="1"/>
    <col min="15916" max="15920" width="11.7109375" style="60" customWidth="1"/>
    <col min="15921" max="15921" width="14.28515625" style="60" customWidth="1"/>
    <col min="15922" max="15922" width="11.7109375" style="60" customWidth="1"/>
    <col min="15923" max="15924" width="9.140625" style="60"/>
    <col min="15925" max="15925" width="11.7109375" style="60" customWidth="1"/>
    <col min="15926" max="15926" width="9.140625" style="60"/>
    <col min="15927" max="15927" width="9.42578125" style="60" bestFit="1" customWidth="1"/>
    <col min="15928" max="15928" width="11.5703125" style="60" bestFit="1" customWidth="1"/>
    <col min="15929" max="16133" width="9.140625" style="60"/>
    <col min="16134" max="16134" width="31" style="60" customWidth="1"/>
    <col min="16135" max="16135" width="13.28515625" style="60" customWidth="1"/>
    <col min="16136" max="16136" width="14.28515625" style="60" customWidth="1"/>
    <col min="16137" max="16137" width="15.28515625" style="60" customWidth="1"/>
    <col min="16138" max="16138" width="14.28515625" style="60" customWidth="1"/>
    <col min="16139" max="16139" width="18.140625" style="60" bestFit="1" customWidth="1"/>
    <col min="16140" max="16141" width="14.28515625" style="60" customWidth="1"/>
    <col min="16142" max="16142" width="42.5703125" style="60" customWidth="1"/>
    <col min="16143" max="16154" width="11.7109375" style="60" customWidth="1"/>
    <col min="16155" max="16157" width="12.85546875" style="60" bestFit="1" customWidth="1"/>
    <col min="16158" max="16158" width="12.42578125" style="60" bestFit="1" customWidth="1"/>
    <col min="16159" max="16159" width="13" style="60" customWidth="1"/>
    <col min="16160" max="16165" width="11.7109375" style="60" customWidth="1"/>
    <col min="16166" max="16166" width="12.85546875" style="60" bestFit="1" customWidth="1"/>
    <col min="16167" max="16170" width="13" style="60" customWidth="1"/>
    <col min="16171" max="16171" width="12.7109375" style="60" customWidth="1"/>
    <col min="16172" max="16176" width="11.7109375" style="60" customWidth="1"/>
    <col min="16177" max="16177" width="14.28515625" style="60" customWidth="1"/>
    <col min="16178" max="16178" width="11.7109375" style="60" customWidth="1"/>
    <col min="16179" max="16180" width="9.140625" style="60"/>
    <col min="16181" max="16181" width="11.7109375" style="60" customWidth="1"/>
    <col min="16182" max="16182" width="9.140625" style="60"/>
    <col min="16183" max="16183" width="9.42578125" style="60" bestFit="1" customWidth="1"/>
    <col min="16184" max="16184" width="11.5703125" style="60" bestFit="1" customWidth="1"/>
    <col min="16185" max="16384" width="9.140625" style="60"/>
  </cols>
  <sheetData>
    <row r="1" spans="1:58" x14ac:dyDescent="0.25">
      <c r="B1" s="60">
        <v>8</v>
      </c>
      <c r="C1" s="61"/>
      <c r="I1" s="67" t="s">
        <v>343</v>
      </c>
      <c r="J1" s="67" t="s">
        <v>344</v>
      </c>
      <c r="K1" s="67" t="s">
        <v>345</v>
      </c>
      <c r="L1" s="67" t="s">
        <v>346</v>
      </c>
      <c r="M1" s="67" t="s">
        <v>347</v>
      </c>
      <c r="N1" s="67" t="s">
        <v>348</v>
      </c>
      <c r="O1" s="67" t="s">
        <v>349</v>
      </c>
      <c r="P1" s="67" t="s">
        <v>350</v>
      </c>
      <c r="Q1" s="67" t="s">
        <v>351</v>
      </c>
      <c r="R1" s="67" t="s">
        <v>352</v>
      </c>
      <c r="S1" s="67" t="s">
        <v>353</v>
      </c>
      <c r="T1" s="67" t="s">
        <v>354</v>
      </c>
      <c r="U1" s="576" t="s">
        <v>355</v>
      </c>
      <c r="V1" s="576" t="s">
        <v>356</v>
      </c>
      <c r="W1" s="576" t="s">
        <v>357</v>
      </c>
      <c r="X1" s="576" t="s">
        <v>358</v>
      </c>
      <c r="Y1" s="576" t="s">
        <v>359</v>
      </c>
      <c r="Z1" s="576" t="s">
        <v>360</v>
      </c>
      <c r="AA1" s="577" t="s">
        <v>361</v>
      </c>
      <c r="AB1" s="577" t="s">
        <v>362</v>
      </c>
      <c r="AC1" s="577" t="s">
        <v>363</v>
      </c>
      <c r="AD1" s="577" t="s">
        <v>364</v>
      </c>
      <c r="AE1" s="577" t="s">
        <v>365</v>
      </c>
      <c r="AF1" s="577" t="s">
        <v>366</v>
      </c>
      <c r="AG1" s="67" t="s">
        <v>367</v>
      </c>
      <c r="AH1" s="67" t="s">
        <v>368</v>
      </c>
      <c r="AI1" s="67" t="s">
        <v>369</v>
      </c>
      <c r="AJ1" s="67" t="s">
        <v>370</v>
      </c>
      <c r="AK1" s="67" t="s">
        <v>371</v>
      </c>
      <c r="AL1" s="67" t="s">
        <v>372</v>
      </c>
      <c r="AM1" s="408" t="s">
        <v>373</v>
      </c>
      <c r="AN1" s="408" t="s">
        <v>374</v>
      </c>
      <c r="AO1" s="408" t="s">
        <v>375</v>
      </c>
      <c r="AP1" s="408" t="s">
        <v>376</v>
      </c>
      <c r="AQ1" s="408" t="s">
        <v>377</v>
      </c>
      <c r="AR1" s="408" t="s">
        <v>513</v>
      </c>
    </row>
    <row r="2" spans="1:58" ht="15.75" thickBot="1" x14ac:dyDescent="0.3">
      <c r="B2" s="830" t="s">
        <v>485</v>
      </c>
      <c r="C2" s="831"/>
      <c r="D2" s="831"/>
      <c r="I2" s="64" t="s">
        <v>212</v>
      </c>
      <c r="J2" s="64" t="s">
        <v>212</v>
      </c>
      <c r="K2" s="64" t="s">
        <v>212</v>
      </c>
      <c r="L2" s="64" t="s">
        <v>212</v>
      </c>
      <c r="M2" s="64" t="s">
        <v>212</v>
      </c>
      <c r="N2" s="64" t="s">
        <v>212</v>
      </c>
      <c r="O2" s="64" t="s">
        <v>212</v>
      </c>
      <c r="P2" s="64" t="s">
        <v>212</v>
      </c>
      <c r="Q2" s="64" t="s">
        <v>212</v>
      </c>
      <c r="R2" s="64" t="s">
        <v>212</v>
      </c>
      <c r="S2" s="64" t="s">
        <v>212</v>
      </c>
      <c r="T2" s="64" t="s">
        <v>212</v>
      </c>
      <c r="U2" s="578" t="s">
        <v>147</v>
      </c>
      <c r="V2" s="578" t="s">
        <v>147</v>
      </c>
      <c r="W2" s="578" t="s">
        <v>147</v>
      </c>
      <c r="X2" s="578" t="s">
        <v>147</v>
      </c>
      <c r="Y2" s="578" t="s">
        <v>147</v>
      </c>
      <c r="Z2" s="578" t="s">
        <v>147</v>
      </c>
      <c r="AA2" s="578" t="s">
        <v>147</v>
      </c>
      <c r="AB2" s="578" t="s">
        <v>147</v>
      </c>
      <c r="AC2" s="578" t="s">
        <v>147</v>
      </c>
      <c r="AD2" s="578" t="s">
        <v>147</v>
      </c>
      <c r="AE2" s="578" t="s">
        <v>147</v>
      </c>
      <c r="AF2" s="578" t="s">
        <v>147</v>
      </c>
      <c r="AG2" s="65" t="s">
        <v>305</v>
      </c>
      <c r="AH2" s="65" t="s">
        <v>305</v>
      </c>
      <c r="AI2" s="65" t="s">
        <v>305</v>
      </c>
      <c r="AJ2" s="65" t="s">
        <v>305</v>
      </c>
      <c r="AK2" s="65" t="s">
        <v>305</v>
      </c>
      <c r="AL2" s="65" t="s">
        <v>305</v>
      </c>
      <c r="AM2" s="65" t="s">
        <v>305</v>
      </c>
      <c r="AN2" s="65" t="s">
        <v>305</v>
      </c>
      <c r="AO2" s="65" t="s">
        <v>305</v>
      </c>
      <c r="AP2" s="65" t="s">
        <v>305</v>
      </c>
      <c r="AQ2" s="65" t="s">
        <v>305</v>
      </c>
      <c r="AR2" s="65" t="s">
        <v>305</v>
      </c>
    </row>
    <row r="3" spans="1:58" x14ac:dyDescent="0.25">
      <c r="B3" s="406" t="s">
        <v>290</v>
      </c>
      <c r="C3" s="407" t="s">
        <v>306</v>
      </c>
      <c r="D3" s="406" t="s">
        <v>148</v>
      </c>
      <c r="E3" s="67"/>
      <c r="I3" s="66">
        <f>SBR!O4</f>
        <v>42917</v>
      </c>
      <c r="J3" s="66">
        <f>SBR!P4</f>
        <v>42948</v>
      </c>
      <c r="K3" s="66">
        <f>SBR!Q4</f>
        <v>42979</v>
      </c>
      <c r="L3" s="66">
        <f>SBR!R4</f>
        <v>43009</v>
      </c>
      <c r="M3" s="66">
        <f>SBR!S4</f>
        <v>43040</v>
      </c>
      <c r="N3" s="66">
        <f>SBR!T4</f>
        <v>43070</v>
      </c>
      <c r="O3" s="66">
        <f>SBR!U4</f>
        <v>43101</v>
      </c>
      <c r="P3" s="66">
        <f>SBR!V4</f>
        <v>43132</v>
      </c>
      <c r="Q3" s="66">
        <f>SBR!W4</f>
        <v>43160</v>
      </c>
      <c r="R3" s="66">
        <f>SBR!X4</f>
        <v>43191</v>
      </c>
      <c r="S3" s="66">
        <f>SBR!Y4</f>
        <v>43221</v>
      </c>
      <c r="T3" s="66">
        <f>SBR!Z4</f>
        <v>43252</v>
      </c>
      <c r="U3" s="579">
        <f t="shared" ref="U3:AA3" si="0">I3</f>
        <v>42917</v>
      </c>
      <c r="V3" s="579">
        <f t="shared" si="0"/>
        <v>42948</v>
      </c>
      <c r="W3" s="579">
        <f t="shared" si="0"/>
        <v>42979</v>
      </c>
      <c r="X3" s="579">
        <f t="shared" si="0"/>
        <v>43009</v>
      </c>
      <c r="Y3" s="579">
        <f t="shared" si="0"/>
        <v>43040</v>
      </c>
      <c r="Z3" s="579">
        <f t="shared" si="0"/>
        <v>43070</v>
      </c>
      <c r="AA3" s="579">
        <f t="shared" si="0"/>
        <v>43101</v>
      </c>
      <c r="AB3" s="579">
        <f t="shared" ref="AB3:AF3" si="1">P3</f>
        <v>43132</v>
      </c>
      <c r="AC3" s="579">
        <f t="shared" si="1"/>
        <v>43160</v>
      </c>
      <c r="AD3" s="579">
        <f t="shared" si="1"/>
        <v>43191</v>
      </c>
      <c r="AE3" s="579">
        <f t="shared" si="1"/>
        <v>43221</v>
      </c>
      <c r="AF3" s="579">
        <f t="shared" si="1"/>
        <v>43252</v>
      </c>
      <c r="AG3" s="66">
        <f t="shared" ref="AG3:AM3" si="2">U3</f>
        <v>42917</v>
      </c>
      <c r="AH3" s="66">
        <f t="shared" si="2"/>
        <v>42948</v>
      </c>
      <c r="AI3" s="66">
        <f t="shared" si="2"/>
        <v>42979</v>
      </c>
      <c r="AJ3" s="66">
        <f t="shared" si="2"/>
        <v>43009</v>
      </c>
      <c r="AK3" s="66">
        <f t="shared" si="2"/>
        <v>43040</v>
      </c>
      <c r="AL3" s="66">
        <f t="shared" si="2"/>
        <v>43070</v>
      </c>
      <c r="AM3" s="66">
        <f t="shared" si="2"/>
        <v>43101</v>
      </c>
      <c r="AN3" s="66">
        <f t="shared" ref="AN3:AR3" si="3">AB3</f>
        <v>43132</v>
      </c>
      <c r="AO3" s="66">
        <f t="shared" si="3"/>
        <v>43160</v>
      </c>
      <c r="AP3" s="66">
        <f t="shared" si="3"/>
        <v>43191</v>
      </c>
      <c r="AQ3" s="66">
        <f t="shared" si="3"/>
        <v>43221</v>
      </c>
      <c r="AR3" s="66">
        <f t="shared" si="3"/>
        <v>43252</v>
      </c>
    </row>
    <row r="4" spans="1:58" x14ac:dyDescent="0.25">
      <c r="U4" s="580"/>
      <c r="V4" s="580"/>
      <c r="W4" s="580"/>
      <c r="X4" s="580"/>
      <c r="Y4" s="580"/>
      <c r="Z4" s="580"/>
      <c r="AA4" s="581"/>
      <c r="AB4" s="581"/>
      <c r="AC4" s="581"/>
      <c r="AD4" s="581"/>
      <c r="AE4" s="581"/>
      <c r="AF4" s="581"/>
    </row>
    <row r="5" spans="1:58" x14ac:dyDescent="0.25">
      <c r="A5" s="60" t="s">
        <v>248</v>
      </c>
      <c r="B5" s="68">
        <f ca="1">SUM(I5:T5)</f>
        <v>3556511</v>
      </c>
      <c r="C5" s="280">
        <f>SUM(U5:AF5)</f>
        <v>19516321.910371594</v>
      </c>
      <c r="D5" s="69">
        <f ca="1">SUM(AG5:AR5)</f>
        <v>214163791.27000001</v>
      </c>
      <c r="H5" s="60" t="s">
        <v>248</v>
      </c>
      <c r="I5" s="80">
        <f ca="1">SBR!O8</f>
        <v>295585</v>
      </c>
      <c r="J5" s="80">
        <f ca="1">SBR!P8</f>
        <v>295508</v>
      </c>
      <c r="K5" s="80">
        <f ca="1">SBR!Q8</f>
        <v>295117</v>
      </c>
      <c r="L5" s="80">
        <f ca="1">SBR!R8</f>
        <v>295420</v>
      </c>
      <c r="M5" s="80">
        <f ca="1">SBR!S8</f>
        <v>295562</v>
      </c>
      <c r="N5" s="80">
        <f ca="1">SBR!T8</f>
        <v>296650</v>
      </c>
      <c r="O5" s="80">
        <f ca="1">SBR!U8</f>
        <v>297218</v>
      </c>
      <c r="P5" s="80">
        <f ca="1">SBR!V8</f>
        <v>297472</v>
      </c>
      <c r="Q5" s="80">
        <f ca="1">SBR!W8</f>
        <v>297745</v>
      </c>
      <c r="R5" s="80">
        <f ca="1">SBR!X8</f>
        <v>297132</v>
      </c>
      <c r="S5" s="80">
        <f ca="1">SBR!Y8</f>
        <v>296589</v>
      </c>
      <c r="T5" s="80">
        <f ca="1">SBR!Z8</f>
        <v>296513</v>
      </c>
      <c r="U5" s="582">
        <f>+SBR!AA8</f>
        <v>331379.92126692669</v>
      </c>
      <c r="V5" s="582">
        <f>+SBR!AB8</f>
        <v>325572.80696375971</v>
      </c>
      <c r="W5" s="582">
        <f>+SBR!AC8</f>
        <v>357906.511656238</v>
      </c>
      <c r="X5" s="582">
        <f>+SBR!AD8</f>
        <v>699066.75763024844</v>
      </c>
      <c r="Y5" s="582">
        <f>+SBR!AE8</f>
        <v>1819908.0548454397</v>
      </c>
      <c r="Z5" s="582">
        <f>+SBR!AF8</f>
        <v>3383204.8675337806</v>
      </c>
      <c r="AA5" s="582">
        <f>+SBR!AG8</f>
        <v>4272129.1869554678</v>
      </c>
      <c r="AB5" s="582">
        <f>+SBR!AH8</f>
        <v>3620817.0590800801</v>
      </c>
      <c r="AC5" s="582">
        <f>+SBR!AI8</f>
        <v>2542353.722491404</v>
      </c>
      <c r="AD5" s="582">
        <f>+SBR!AJ8</f>
        <v>1126273.5954044515</v>
      </c>
      <c r="AE5" s="582">
        <f>+SBR!AK8</f>
        <v>653514.63454635767</v>
      </c>
      <c r="AF5" s="582">
        <f>+SBR!AL8</f>
        <v>384194.79199744179</v>
      </c>
      <c r="AG5" s="72">
        <f ca="1">+SBR!AM8</f>
        <v>8015184.7599999998</v>
      </c>
      <c r="AH5" s="72">
        <f ca="1">+SBR!AN8</f>
        <v>7876085.5199999996</v>
      </c>
      <c r="AI5" s="72">
        <f ca="1">+SBR!AO8</f>
        <v>8160667.9900000002</v>
      </c>
      <c r="AJ5" s="72">
        <f ca="1">+SBR!AP8</f>
        <v>9867623.6500000004</v>
      </c>
      <c r="AK5" s="72">
        <f ca="1">+SBR!AQ8</f>
        <v>17907148.899999999</v>
      </c>
      <c r="AL5" s="72">
        <f ca="1">+SBR!AR8</f>
        <v>29029482.68</v>
      </c>
      <c r="AM5" s="72">
        <f ca="1">+SBR!AS8</f>
        <v>36960393.299999997</v>
      </c>
      <c r="AN5" s="72">
        <f ca="1">+SBR!AT8</f>
        <v>33545472.32</v>
      </c>
      <c r="AO5" s="72">
        <f ca="1">+SBR!AU8</f>
        <v>26877557.859999999</v>
      </c>
      <c r="AP5" s="72">
        <f ca="1">+SBR!AV8</f>
        <v>15606255.51</v>
      </c>
      <c r="AQ5" s="72">
        <f ca="1">+SBR!AW8</f>
        <v>11465973.83</v>
      </c>
      <c r="AR5" s="72">
        <f ca="1">+SBR!AX8</f>
        <v>8851944.9499999993</v>
      </c>
    </row>
    <row r="6" spans="1:58" x14ac:dyDescent="0.25">
      <c r="A6" s="73" t="s">
        <v>249</v>
      </c>
      <c r="B6" s="63">
        <f ca="1">SUM(B5:B5)</f>
        <v>3556511</v>
      </c>
      <c r="C6" s="281">
        <f>SUM(C5:C5)</f>
        <v>19516321.910371594</v>
      </c>
      <c r="D6" s="300">
        <f ca="1">SUM(D5)</f>
        <v>214163791.27000001</v>
      </c>
      <c r="E6" s="74"/>
      <c r="H6" s="73" t="s">
        <v>307</v>
      </c>
      <c r="I6" s="63">
        <f ca="1">SUM(I5:I5)</f>
        <v>295585</v>
      </c>
      <c r="J6" s="63">
        <f t="shared" ref="J6:T6" ca="1" si="4">SUM(J5:J5)</f>
        <v>295508</v>
      </c>
      <c r="K6" s="63">
        <f t="shared" ca="1" si="4"/>
        <v>295117</v>
      </c>
      <c r="L6" s="63">
        <f t="shared" ca="1" si="4"/>
        <v>295420</v>
      </c>
      <c r="M6" s="63">
        <f t="shared" ca="1" si="4"/>
        <v>295562</v>
      </c>
      <c r="N6" s="63">
        <f t="shared" ca="1" si="4"/>
        <v>296650</v>
      </c>
      <c r="O6" s="63">
        <f t="shared" ca="1" si="4"/>
        <v>297218</v>
      </c>
      <c r="P6" s="63">
        <f t="shared" ca="1" si="4"/>
        <v>297472</v>
      </c>
      <c r="Q6" s="63">
        <f t="shared" ca="1" si="4"/>
        <v>297745</v>
      </c>
      <c r="R6" s="63">
        <f t="shared" ca="1" si="4"/>
        <v>297132</v>
      </c>
      <c r="S6" s="63">
        <f t="shared" ca="1" si="4"/>
        <v>296589</v>
      </c>
      <c r="T6" s="63">
        <f t="shared" ca="1" si="4"/>
        <v>296513</v>
      </c>
      <c r="U6" s="581">
        <f>SUM(U5:U5)</f>
        <v>331379.92126692669</v>
      </c>
      <c r="V6" s="581">
        <f t="shared" ref="V6:AF6" si="5">SUM(V5:V5)</f>
        <v>325572.80696375971</v>
      </c>
      <c r="W6" s="581">
        <f t="shared" si="5"/>
        <v>357906.511656238</v>
      </c>
      <c r="X6" s="581">
        <f t="shared" si="5"/>
        <v>699066.75763024844</v>
      </c>
      <c r="Y6" s="581">
        <f t="shared" si="5"/>
        <v>1819908.0548454397</v>
      </c>
      <c r="Z6" s="581">
        <f t="shared" si="5"/>
        <v>3383204.8675337806</v>
      </c>
      <c r="AA6" s="581">
        <f t="shared" si="5"/>
        <v>4272129.1869554678</v>
      </c>
      <c r="AB6" s="581">
        <f t="shared" si="5"/>
        <v>3620817.0590800801</v>
      </c>
      <c r="AC6" s="581">
        <f t="shared" si="5"/>
        <v>2542353.722491404</v>
      </c>
      <c r="AD6" s="581">
        <f t="shared" si="5"/>
        <v>1126273.5954044515</v>
      </c>
      <c r="AE6" s="581">
        <f t="shared" si="5"/>
        <v>653514.63454635767</v>
      </c>
      <c r="AF6" s="581">
        <f t="shared" si="5"/>
        <v>384194.79199744179</v>
      </c>
      <c r="AG6" s="62">
        <f ca="1">SUM(AG5:AG5)</f>
        <v>8015184.7599999998</v>
      </c>
      <c r="AH6" s="62">
        <f t="shared" ref="AH6:AR6" ca="1" si="6">SUM(AH5:AH5)</f>
        <v>7876085.5199999996</v>
      </c>
      <c r="AI6" s="62">
        <f t="shared" ca="1" si="6"/>
        <v>8160667.9900000002</v>
      </c>
      <c r="AJ6" s="62">
        <f t="shared" ca="1" si="6"/>
        <v>9867623.6500000004</v>
      </c>
      <c r="AK6" s="62">
        <f t="shared" ca="1" si="6"/>
        <v>17907148.899999999</v>
      </c>
      <c r="AL6" s="62">
        <f t="shared" ca="1" si="6"/>
        <v>29029482.68</v>
      </c>
      <c r="AM6" s="62">
        <f t="shared" ca="1" si="6"/>
        <v>36960393.299999997</v>
      </c>
      <c r="AN6" s="62">
        <f t="shared" ca="1" si="6"/>
        <v>33545472.32</v>
      </c>
      <c r="AO6" s="62">
        <f t="shared" ca="1" si="6"/>
        <v>26877557.859999999</v>
      </c>
      <c r="AP6" s="62">
        <f t="shared" ca="1" si="6"/>
        <v>15606255.51</v>
      </c>
      <c r="AQ6" s="62">
        <f t="shared" ca="1" si="6"/>
        <v>11465973.83</v>
      </c>
      <c r="AR6" s="62">
        <f t="shared" ca="1" si="6"/>
        <v>8851944.9499999993</v>
      </c>
    </row>
    <row r="7" spans="1:58" x14ac:dyDescent="0.25"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63"/>
      <c r="AH7" s="63"/>
    </row>
    <row r="8" spans="1:58" x14ac:dyDescent="0.25">
      <c r="A8" s="60" t="s">
        <v>250</v>
      </c>
      <c r="B8" s="74">
        <f ca="1">SUM(I8:T8)</f>
        <v>299360</v>
      </c>
      <c r="C8" s="284">
        <f>SUM(U8:AF8)</f>
        <v>10137905.826085171</v>
      </c>
      <c r="D8" s="300">
        <f ca="1">SUM(AG8:AR8)</f>
        <v>90246980.739999995</v>
      </c>
      <c r="H8" s="60" t="s">
        <v>250</v>
      </c>
      <c r="I8" s="298">
        <f ca="1">SBR!O10</f>
        <v>24665</v>
      </c>
      <c r="J8" s="82">
        <f ca="1">SUM(SBR!P10:P10)</f>
        <v>24681</v>
      </c>
      <c r="K8" s="82">
        <f ca="1">SUM(SBR!Q10:Q10)</f>
        <v>24691</v>
      </c>
      <c r="L8" s="82">
        <f ca="1">SUM(SBR!R10:R10)</f>
        <v>24765</v>
      </c>
      <c r="M8" s="82">
        <f ca="1">SUM(SBR!S10:S10)</f>
        <v>24954</v>
      </c>
      <c r="N8" s="82">
        <f ca="1">SUM(SBR!T10:T10)</f>
        <v>25149</v>
      </c>
      <c r="O8" s="82">
        <f ca="1">SUM(SBR!U10:U10)</f>
        <v>25237</v>
      </c>
      <c r="P8" s="82">
        <f ca="1">SUM(SBR!V10:V10)</f>
        <v>25248</v>
      </c>
      <c r="Q8" s="82">
        <f ca="1">SUM(SBR!W10:W10)</f>
        <v>25231</v>
      </c>
      <c r="R8" s="82">
        <f ca="1">SUM(SBR!X10:X10)</f>
        <v>25101</v>
      </c>
      <c r="S8" s="82">
        <f ca="1">SUM(SBR!Y10:Y10)</f>
        <v>24903</v>
      </c>
      <c r="T8" s="82">
        <f ca="1">SUM(SBR!Z10:Z10)</f>
        <v>24735</v>
      </c>
      <c r="U8" s="583">
        <f>SBR!AA10</f>
        <v>274407.83378030173</v>
      </c>
      <c r="V8" s="583">
        <f>SUM(SBR!AB10:AB10)</f>
        <v>292082.14061164635</v>
      </c>
      <c r="W8" s="583">
        <f>SUM(SBR!AC10:AC10)</f>
        <v>305289.45140968898</v>
      </c>
      <c r="X8" s="583">
        <f>SUM(SBR!AD10:AD10)</f>
        <v>475631.65851774602</v>
      </c>
      <c r="Y8" s="583">
        <f>SUM(SBR!AE10:AE10)</f>
        <v>856046.828014008</v>
      </c>
      <c r="Z8" s="583">
        <f>SUM(SBR!AF10:AF10)</f>
        <v>1569540.2038600892</v>
      </c>
      <c r="AA8" s="583">
        <f>SUM(SBR!AG10:AG10)</f>
        <v>2040489.5715611831</v>
      </c>
      <c r="AB8" s="583">
        <f>SUM(SBR!AH10:AH10)</f>
        <v>1766188.2255179358</v>
      </c>
      <c r="AC8" s="583">
        <f>SUM(SBR!AI10:AI10)</f>
        <v>1239345.0482742919</v>
      </c>
      <c r="AD8" s="583">
        <f>SUM(SBR!AJ10:AJ10)</f>
        <v>644414.29854030965</v>
      </c>
      <c r="AE8" s="583">
        <f>SUM(SBR!AK10:AK10)</f>
        <v>385524.96809185785</v>
      </c>
      <c r="AF8" s="583">
        <f>SUM(SBR!AL10:AL10)</f>
        <v>288945.59790610999</v>
      </c>
      <c r="AG8" s="82">
        <f ca="1">SBR!AM10</f>
        <v>3542887.77</v>
      </c>
      <c r="AH8" s="82">
        <f ca="1">SBR!AN10</f>
        <v>3547094.78</v>
      </c>
      <c r="AI8" s="82">
        <f ca="1">SBR!AO10</f>
        <v>3692675.47</v>
      </c>
      <c r="AJ8" s="82">
        <f ca="1">SBR!AP10</f>
        <v>4315480.63</v>
      </c>
      <c r="AK8" s="82">
        <f ca="1">SBR!AQ10</f>
        <v>6993149.4199999999</v>
      </c>
      <c r="AL8" s="82">
        <f ca="1">SBR!AR10</f>
        <v>11563790.189999999</v>
      </c>
      <c r="AM8" s="82">
        <f ca="1">SBR!AS10</f>
        <v>15319806.439999999</v>
      </c>
      <c r="AN8" s="82">
        <f ca="1">SBR!AT10</f>
        <v>14166548.439999999</v>
      </c>
      <c r="AO8" s="82">
        <f ca="1">SBR!AU10</f>
        <v>11282401.27</v>
      </c>
      <c r="AP8" s="82">
        <f ca="1">SBR!AV10</f>
        <v>7011350.8099999996</v>
      </c>
      <c r="AQ8" s="82">
        <f ca="1">SBR!AW10</f>
        <v>4917776.96</v>
      </c>
      <c r="AR8" s="82">
        <f ca="1">SBR!AX10</f>
        <v>3894018.56</v>
      </c>
    </row>
    <row r="9" spans="1:58" x14ac:dyDescent="0.25">
      <c r="A9" s="60" t="s">
        <v>251</v>
      </c>
      <c r="B9" s="68">
        <f>SUM(I9:T9)</f>
        <v>0</v>
      </c>
      <c r="C9" s="280">
        <f>SUM(U9:AF9)</f>
        <v>0</v>
      </c>
      <c r="D9" s="69">
        <f t="shared" ref="D9" si="7">SUM(AG9:AR9)</f>
        <v>0</v>
      </c>
      <c r="E9" s="299"/>
      <c r="F9" s="299"/>
      <c r="G9" s="299"/>
      <c r="H9" s="299" t="s">
        <v>308</v>
      </c>
      <c r="I9" s="71">
        <f>SBR!O37</f>
        <v>0</v>
      </c>
      <c r="J9" s="71">
        <f>SBR!P37</f>
        <v>0</v>
      </c>
      <c r="K9" s="71">
        <f>SBR!Q37</f>
        <v>0</v>
      </c>
      <c r="L9" s="71">
        <f>SBR!R37</f>
        <v>0</v>
      </c>
      <c r="M9" s="71">
        <f>SBR!S37</f>
        <v>0</v>
      </c>
      <c r="N9" s="71">
        <f>SBR!T37</f>
        <v>0</v>
      </c>
      <c r="O9" s="71">
        <f>SBR!U37</f>
        <v>0</v>
      </c>
      <c r="P9" s="71">
        <f>SBR!V37</f>
        <v>0</v>
      </c>
      <c r="Q9" s="71">
        <f>SBR!W37</f>
        <v>0</v>
      </c>
      <c r="R9" s="71">
        <f>SBR!X37</f>
        <v>0</v>
      </c>
      <c r="S9" s="71">
        <f>SBR!Y37</f>
        <v>0</v>
      </c>
      <c r="T9" s="71">
        <f>SBR!Z37</f>
        <v>0</v>
      </c>
      <c r="U9" s="584">
        <f>SBR!AA37</f>
        <v>0</v>
      </c>
      <c r="V9" s="584">
        <f>SBR!AB37</f>
        <v>0</v>
      </c>
      <c r="W9" s="584">
        <f>SBR!AC37</f>
        <v>0</v>
      </c>
      <c r="X9" s="584">
        <f>SBR!AD37</f>
        <v>0</v>
      </c>
      <c r="Y9" s="584">
        <f>SBR!AE37</f>
        <v>0</v>
      </c>
      <c r="Z9" s="584">
        <f>SBR!AF37</f>
        <v>0</v>
      </c>
      <c r="AA9" s="584">
        <f>SBR!AG37</f>
        <v>0</v>
      </c>
      <c r="AB9" s="584">
        <f>SBR!AH37</f>
        <v>0</v>
      </c>
      <c r="AC9" s="584">
        <f>SBR!AI37</f>
        <v>0</v>
      </c>
      <c r="AD9" s="584">
        <f>SBR!AJ37</f>
        <v>0</v>
      </c>
      <c r="AE9" s="584">
        <f>SBR!AK37</f>
        <v>0</v>
      </c>
      <c r="AF9" s="584">
        <f>SBR!AL37</f>
        <v>0</v>
      </c>
      <c r="AG9" s="71">
        <f>SBR!AM37</f>
        <v>0</v>
      </c>
      <c r="AH9" s="71">
        <f>SBR!AN37</f>
        <v>0</v>
      </c>
      <c r="AI9" s="71">
        <f>SBR!AO37</f>
        <v>0</v>
      </c>
      <c r="AJ9" s="71">
        <f>SBR!AP37</f>
        <v>0</v>
      </c>
      <c r="AK9" s="71">
        <f>SBR!AQ37</f>
        <v>0</v>
      </c>
      <c r="AL9" s="71">
        <f>SBR!AR37</f>
        <v>0</v>
      </c>
      <c r="AM9" s="71">
        <f>SBR!AS37</f>
        <v>0</v>
      </c>
      <c r="AN9" s="71">
        <f>SBR!AT37</f>
        <v>0</v>
      </c>
      <c r="AO9" s="71">
        <f>SBR!AU37</f>
        <v>0</v>
      </c>
      <c r="AP9" s="71">
        <f>SBR!AV37</f>
        <v>0</v>
      </c>
      <c r="AQ9" s="71">
        <f>SBR!AW37</f>
        <v>0</v>
      </c>
      <c r="AR9" s="71">
        <f>SBR!AX37</f>
        <v>0</v>
      </c>
      <c r="AY9" s="297"/>
    </row>
    <row r="10" spans="1:58" x14ac:dyDescent="0.25">
      <c r="A10" s="73" t="s">
        <v>252</v>
      </c>
      <c r="B10" s="74">
        <f ca="1">SUM(B8:B9)</f>
        <v>299360</v>
      </c>
      <c r="C10" s="284">
        <f>SUM(C8:C9)</f>
        <v>10137905.826085171</v>
      </c>
      <c r="D10" s="300">
        <f ca="1">SUM(D8:D9)</f>
        <v>90246980.739999995</v>
      </c>
      <c r="H10" s="73" t="s">
        <v>309</v>
      </c>
      <c r="I10" s="63">
        <f t="shared" ref="I10:AR10" ca="1" si="8">SUM(I8:I9)</f>
        <v>24665</v>
      </c>
      <c r="J10" s="63">
        <f t="shared" ca="1" si="8"/>
        <v>24681</v>
      </c>
      <c r="K10" s="63">
        <f t="shared" ca="1" si="8"/>
        <v>24691</v>
      </c>
      <c r="L10" s="63">
        <f t="shared" ca="1" si="8"/>
        <v>24765</v>
      </c>
      <c r="M10" s="63">
        <f t="shared" ca="1" si="8"/>
        <v>24954</v>
      </c>
      <c r="N10" s="63">
        <f t="shared" ca="1" si="8"/>
        <v>25149</v>
      </c>
      <c r="O10" s="63">
        <f t="shared" ca="1" si="8"/>
        <v>25237</v>
      </c>
      <c r="P10" s="63">
        <f t="shared" ca="1" si="8"/>
        <v>25248</v>
      </c>
      <c r="Q10" s="63">
        <f t="shared" ca="1" si="8"/>
        <v>25231</v>
      </c>
      <c r="R10" s="63">
        <f t="shared" ca="1" si="8"/>
        <v>25101</v>
      </c>
      <c r="S10" s="63">
        <f t="shared" ca="1" si="8"/>
        <v>24903</v>
      </c>
      <c r="T10" s="63">
        <f t="shared" ca="1" si="8"/>
        <v>24735</v>
      </c>
      <c r="U10" s="581">
        <f t="shared" si="8"/>
        <v>274407.83378030173</v>
      </c>
      <c r="V10" s="581">
        <f t="shared" si="8"/>
        <v>292082.14061164635</v>
      </c>
      <c r="W10" s="581">
        <f t="shared" si="8"/>
        <v>305289.45140968898</v>
      </c>
      <c r="X10" s="581">
        <f t="shared" si="8"/>
        <v>475631.65851774602</v>
      </c>
      <c r="Y10" s="581">
        <f t="shared" si="8"/>
        <v>856046.828014008</v>
      </c>
      <c r="Z10" s="581">
        <f t="shared" si="8"/>
        <v>1569540.2038600892</v>
      </c>
      <c r="AA10" s="581">
        <f t="shared" si="8"/>
        <v>2040489.5715611831</v>
      </c>
      <c r="AB10" s="581">
        <f t="shared" si="8"/>
        <v>1766188.2255179358</v>
      </c>
      <c r="AC10" s="581">
        <f t="shared" si="8"/>
        <v>1239345.0482742919</v>
      </c>
      <c r="AD10" s="581">
        <f t="shared" si="8"/>
        <v>644414.29854030965</v>
      </c>
      <c r="AE10" s="581">
        <f t="shared" si="8"/>
        <v>385524.96809185785</v>
      </c>
      <c r="AF10" s="581">
        <f t="shared" si="8"/>
        <v>288945.59790610999</v>
      </c>
      <c r="AG10" s="62">
        <f t="shared" ca="1" si="8"/>
        <v>3542887.77</v>
      </c>
      <c r="AH10" s="62">
        <f t="shared" ca="1" si="8"/>
        <v>3547094.78</v>
      </c>
      <c r="AI10" s="62">
        <f t="shared" ca="1" si="8"/>
        <v>3692675.47</v>
      </c>
      <c r="AJ10" s="62">
        <f t="shared" ca="1" si="8"/>
        <v>4315480.63</v>
      </c>
      <c r="AK10" s="62">
        <f t="shared" ca="1" si="8"/>
        <v>6993149.4199999999</v>
      </c>
      <c r="AL10" s="62">
        <f t="shared" ca="1" si="8"/>
        <v>11563790.189999999</v>
      </c>
      <c r="AM10" s="62">
        <f t="shared" ca="1" si="8"/>
        <v>15319806.439999999</v>
      </c>
      <c r="AN10" s="62">
        <f t="shared" ca="1" si="8"/>
        <v>14166548.439999999</v>
      </c>
      <c r="AO10" s="62">
        <f t="shared" ca="1" si="8"/>
        <v>11282401.27</v>
      </c>
      <c r="AP10" s="62">
        <f t="shared" ca="1" si="8"/>
        <v>7011350.8099999996</v>
      </c>
      <c r="AQ10" s="62">
        <f t="shared" ca="1" si="8"/>
        <v>4917776.96</v>
      </c>
      <c r="AR10" s="62">
        <f t="shared" ca="1" si="8"/>
        <v>3894018.56</v>
      </c>
    </row>
    <row r="11" spans="1:58" x14ac:dyDescent="0.25">
      <c r="C11" s="75"/>
      <c r="D11" s="75"/>
      <c r="U11" s="581"/>
      <c r="V11" s="581"/>
      <c r="W11" s="581"/>
      <c r="X11" s="581"/>
      <c r="Y11" s="581"/>
      <c r="Z11" s="581"/>
      <c r="AA11" s="581"/>
      <c r="AB11" s="581"/>
      <c r="AC11" s="581"/>
      <c r="AD11" s="581"/>
      <c r="AE11" s="581"/>
      <c r="AF11" s="581"/>
      <c r="AG11" s="63"/>
      <c r="AH11" s="63"/>
    </row>
    <row r="12" spans="1:58" x14ac:dyDescent="0.25">
      <c r="A12" s="60" t="s">
        <v>253</v>
      </c>
      <c r="B12" s="74">
        <f ca="1">SUM(I12:T12)</f>
        <v>3138</v>
      </c>
      <c r="C12" s="284">
        <f>SUM(U12:AF12)</f>
        <v>1488806.1080976345</v>
      </c>
      <c r="D12" s="300">
        <f ca="1">SUM(AG12:AR12)</f>
        <v>10665877.359999999</v>
      </c>
      <c r="H12" s="60" t="s">
        <v>253</v>
      </c>
      <c r="I12" s="63">
        <f ca="1">SBR!O14</f>
        <v>258</v>
      </c>
      <c r="J12" s="63">
        <f ca="1">SBR!P14</f>
        <v>260</v>
      </c>
      <c r="K12" s="63">
        <f ca="1">SBR!Q14</f>
        <v>260</v>
      </c>
      <c r="L12" s="63">
        <f ca="1">SBR!R14</f>
        <v>260</v>
      </c>
      <c r="M12" s="63">
        <f ca="1">SBR!S14</f>
        <v>260</v>
      </c>
      <c r="N12" s="63">
        <f ca="1">SBR!T14</f>
        <v>262</v>
      </c>
      <c r="O12" s="63">
        <f ca="1">SBR!U14</f>
        <v>262</v>
      </c>
      <c r="P12" s="63">
        <f ca="1">SBR!V14</f>
        <v>262</v>
      </c>
      <c r="Q12" s="63">
        <f ca="1">SBR!W14</f>
        <v>262</v>
      </c>
      <c r="R12" s="63">
        <f ca="1">SBR!X14</f>
        <v>264</v>
      </c>
      <c r="S12" s="63">
        <f ca="1">SBR!Y14</f>
        <v>264</v>
      </c>
      <c r="T12" s="63">
        <f ca="1">SBR!Z14</f>
        <v>264</v>
      </c>
      <c r="U12" s="585">
        <f>SBR!AA14</f>
        <v>80310.180473801956</v>
      </c>
      <c r="V12" s="585">
        <f>SBR!AB14</f>
        <v>87097.138292480449</v>
      </c>
      <c r="W12" s="585">
        <f>SBR!AC14</f>
        <v>88370.633592162456</v>
      </c>
      <c r="X12" s="585">
        <f>SBR!AD14</f>
        <v>133783.9240638472</v>
      </c>
      <c r="Y12" s="585">
        <f>SBR!AE14</f>
        <v>152358.9002778627</v>
      </c>
      <c r="Z12" s="585">
        <f>SBR!AF14</f>
        <v>183709.15432621259</v>
      </c>
      <c r="AA12" s="585">
        <f>SBR!AG14</f>
        <v>191838.79932161901</v>
      </c>
      <c r="AB12" s="585">
        <f>SBR!AH14</f>
        <v>177125.01983670576</v>
      </c>
      <c r="AC12" s="585">
        <f>SBR!AI14</f>
        <v>131542.84360345543</v>
      </c>
      <c r="AD12" s="585">
        <f>SBR!AJ14</f>
        <v>95906.33890011214</v>
      </c>
      <c r="AE12" s="585">
        <f>SBR!AK14</f>
        <v>85411.439916090618</v>
      </c>
      <c r="AF12" s="585">
        <f>SBR!AL14</f>
        <v>81351.73549328449</v>
      </c>
      <c r="AG12" s="63">
        <f ca="1">SBR!AM14</f>
        <v>557893.18999999994</v>
      </c>
      <c r="AH12" s="63">
        <f ca="1">SBR!AN14</f>
        <v>562085.81000000006</v>
      </c>
      <c r="AI12" s="63">
        <f ca="1">SBR!AO14</f>
        <v>589641.19999999995</v>
      </c>
      <c r="AJ12" s="63">
        <f ca="1">SBR!AP14</f>
        <v>737431.02</v>
      </c>
      <c r="AK12" s="63">
        <f ca="1">SBR!AQ14</f>
        <v>997993.94</v>
      </c>
      <c r="AL12" s="63">
        <f ca="1">SBR!AR14</f>
        <v>1243002.56</v>
      </c>
      <c r="AM12" s="63">
        <f ca="1">SBR!AS14</f>
        <v>1376009.1</v>
      </c>
      <c r="AN12" s="63">
        <f ca="1">SBR!AT14</f>
        <v>1341165.31</v>
      </c>
      <c r="AO12" s="63">
        <f ca="1">SBR!AU14</f>
        <v>1095520.8</v>
      </c>
      <c r="AP12" s="63">
        <f ca="1">SBR!AV14</f>
        <v>830929.18</v>
      </c>
      <c r="AQ12" s="63">
        <f ca="1">SBR!AW14</f>
        <v>723739.21</v>
      </c>
      <c r="AR12" s="63">
        <f ca="1">SBR!AX14</f>
        <v>610466.04</v>
      </c>
      <c r="AY12" s="63"/>
    </row>
    <row r="13" spans="1:58" x14ac:dyDescent="0.25">
      <c r="A13" s="60" t="s">
        <v>254</v>
      </c>
      <c r="B13" s="68">
        <f>SUM(I13:T13)</f>
        <v>60</v>
      </c>
      <c r="C13" s="280">
        <f>SUM(U13:AF13)</f>
        <v>459927.30376795534</v>
      </c>
      <c r="D13" s="69">
        <f ca="1">SUM(AG13:AR13)</f>
        <v>1045333.22</v>
      </c>
      <c r="H13" s="60" t="s">
        <v>310</v>
      </c>
      <c r="I13" s="71">
        <f>SBR!O38</f>
        <v>5</v>
      </c>
      <c r="J13" s="71">
        <f>SBR!P38</f>
        <v>5</v>
      </c>
      <c r="K13" s="71">
        <f>SBR!Q38</f>
        <v>5</v>
      </c>
      <c r="L13" s="71">
        <f>SBR!R38</f>
        <v>5</v>
      </c>
      <c r="M13" s="71">
        <f>SBR!S38</f>
        <v>5</v>
      </c>
      <c r="N13" s="71">
        <f>SBR!T38</f>
        <v>5</v>
      </c>
      <c r="O13" s="71">
        <f>SBR!U38</f>
        <v>5</v>
      </c>
      <c r="P13" s="71">
        <f>SBR!V38</f>
        <v>5</v>
      </c>
      <c r="Q13" s="71">
        <f>SBR!W38</f>
        <v>5</v>
      </c>
      <c r="R13" s="71">
        <f>SBR!X38</f>
        <v>5</v>
      </c>
      <c r="S13" s="71">
        <f>SBR!Y38</f>
        <v>5</v>
      </c>
      <c r="T13" s="71">
        <f>SBR!Z38</f>
        <v>5</v>
      </c>
      <c r="U13" s="584">
        <f>SBR!AA38</f>
        <v>43062.129308951269</v>
      </c>
      <c r="V13" s="584">
        <f>SBR!AB38</f>
        <v>33815.64415878553</v>
      </c>
      <c r="W13" s="584">
        <f>SBR!AC38</f>
        <v>42640.851385407259</v>
      </c>
      <c r="X13" s="584">
        <f>SBR!AD38</f>
        <v>67640.584847279737</v>
      </c>
      <c r="Y13" s="584">
        <f>SBR!AE38</f>
        <v>72583.230218347147</v>
      </c>
      <c r="Z13" s="584">
        <f>SBR!AF38</f>
        <v>52392.893146041315</v>
      </c>
      <c r="AA13" s="584">
        <f>SBR!AG38</f>
        <v>18120.12729015603</v>
      </c>
      <c r="AB13" s="584">
        <f>SBR!AH38</f>
        <v>11588.443207553632</v>
      </c>
      <c r="AC13" s="584">
        <f>SBR!AI38</f>
        <v>18502.250969354773</v>
      </c>
      <c r="AD13" s="584">
        <f>SBR!AJ38</f>
        <v>32597.663380023874</v>
      </c>
      <c r="AE13" s="584">
        <f>SBR!AK38</f>
        <v>32606.717370365375</v>
      </c>
      <c r="AF13" s="584">
        <f>SBR!AL38</f>
        <v>34376.768485689412</v>
      </c>
      <c r="AG13" s="71">
        <f ca="1">SBR!AM38</f>
        <v>91314.54</v>
      </c>
      <c r="AH13" s="71">
        <f ca="1">SBR!AN38</f>
        <v>73051.97</v>
      </c>
      <c r="AI13" s="71">
        <f ca="1">SBR!AO38</f>
        <v>90132.1</v>
      </c>
      <c r="AJ13" s="71">
        <f ca="1">SBR!AP38</f>
        <v>136566.37</v>
      </c>
      <c r="AK13" s="71">
        <f ca="1">SBR!AQ38</f>
        <v>181083.76</v>
      </c>
      <c r="AL13" s="71">
        <f ca="1">SBR!AR38</f>
        <v>130504.21</v>
      </c>
      <c r="AM13" s="71">
        <f ca="1">SBR!AS38</f>
        <v>47944.53</v>
      </c>
      <c r="AN13" s="71">
        <f ca="1">SBR!AT38</f>
        <v>32096.560000000001</v>
      </c>
      <c r="AO13" s="71">
        <f ca="1">SBR!AU38</f>
        <v>49637.82</v>
      </c>
      <c r="AP13" s="71">
        <f ca="1">SBR!AV38</f>
        <v>68473.78</v>
      </c>
      <c r="AQ13" s="71">
        <f ca="1">SBR!AW38</f>
        <v>69777.84</v>
      </c>
      <c r="AR13" s="71">
        <f ca="1">SBR!AX38</f>
        <v>74749.740000000005</v>
      </c>
      <c r="AY13" s="74"/>
    </row>
    <row r="14" spans="1:58" x14ac:dyDescent="0.25">
      <c r="A14" s="73" t="s">
        <v>255</v>
      </c>
      <c r="B14" s="63">
        <f ca="1">SUM(B12:B13)</f>
        <v>3198</v>
      </c>
      <c r="C14" s="62">
        <f>SUM(C12:C13)</f>
        <v>1948733.4118655899</v>
      </c>
      <c r="D14" s="300">
        <f ca="1">SUM(D12:D13)</f>
        <v>11711210.58</v>
      </c>
      <c r="H14" s="73" t="s">
        <v>311</v>
      </c>
      <c r="I14" s="63">
        <f t="shared" ref="I14:AR14" ca="1" si="9">SUM(I12:I13)</f>
        <v>263</v>
      </c>
      <c r="J14" s="63">
        <f t="shared" ca="1" si="9"/>
        <v>265</v>
      </c>
      <c r="K14" s="63">
        <f t="shared" ca="1" si="9"/>
        <v>265</v>
      </c>
      <c r="L14" s="63">
        <f t="shared" ca="1" si="9"/>
        <v>265</v>
      </c>
      <c r="M14" s="63">
        <f t="shared" ca="1" si="9"/>
        <v>265</v>
      </c>
      <c r="N14" s="63">
        <f t="shared" ca="1" si="9"/>
        <v>267</v>
      </c>
      <c r="O14" s="63">
        <f t="shared" ca="1" si="9"/>
        <v>267</v>
      </c>
      <c r="P14" s="63">
        <f t="shared" ca="1" si="9"/>
        <v>267</v>
      </c>
      <c r="Q14" s="63">
        <f t="shared" ca="1" si="9"/>
        <v>267</v>
      </c>
      <c r="R14" s="63">
        <f t="shared" ca="1" si="9"/>
        <v>269</v>
      </c>
      <c r="S14" s="63">
        <f t="shared" ca="1" si="9"/>
        <v>269</v>
      </c>
      <c r="T14" s="63">
        <f t="shared" ca="1" si="9"/>
        <v>269</v>
      </c>
      <c r="U14" s="585">
        <f t="shared" si="9"/>
        <v>123372.30978275323</v>
      </c>
      <c r="V14" s="585">
        <f t="shared" si="9"/>
        <v>120912.78245126599</v>
      </c>
      <c r="W14" s="585">
        <f t="shared" si="9"/>
        <v>131011.48497756972</v>
      </c>
      <c r="X14" s="585">
        <f t="shared" si="9"/>
        <v>201424.50891112693</v>
      </c>
      <c r="Y14" s="585">
        <f t="shared" si="9"/>
        <v>224942.13049620984</v>
      </c>
      <c r="Z14" s="585">
        <f t="shared" si="9"/>
        <v>236102.04747225391</v>
      </c>
      <c r="AA14" s="585">
        <f t="shared" si="9"/>
        <v>209958.92661177504</v>
      </c>
      <c r="AB14" s="585">
        <f t="shared" si="9"/>
        <v>188713.46304425941</v>
      </c>
      <c r="AC14" s="585">
        <f t="shared" si="9"/>
        <v>150045.09457281019</v>
      </c>
      <c r="AD14" s="585">
        <f t="shared" si="9"/>
        <v>128504.00228013602</v>
      </c>
      <c r="AE14" s="585">
        <f t="shared" si="9"/>
        <v>118018.157286456</v>
      </c>
      <c r="AF14" s="585">
        <f t="shared" si="9"/>
        <v>115728.50397897389</v>
      </c>
      <c r="AG14" s="63">
        <f t="shared" ca="1" si="9"/>
        <v>649207.73</v>
      </c>
      <c r="AH14" s="63">
        <f t="shared" ca="1" si="9"/>
        <v>635137.78</v>
      </c>
      <c r="AI14" s="63">
        <f t="shared" ca="1" si="9"/>
        <v>679773.29999999993</v>
      </c>
      <c r="AJ14" s="63">
        <f t="shared" ca="1" si="9"/>
        <v>873997.39</v>
      </c>
      <c r="AK14" s="63">
        <f t="shared" ca="1" si="9"/>
        <v>1179077.7</v>
      </c>
      <c r="AL14" s="63">
        <f t="shared" ca="1" si="9"/>
        <v>1373506.77</v>
      </c>
      <c r="AM14" s="63">
        <f t="shared" ca="1" si="9"/>
        <v>1423953.6300000001</v>
      </c>
      <c r="AN14" s="63">
        <f t="shared" ca="1" si="9"/>
        <v>1373261.87</v>
      </c>
      <c r="AO14" s="63">
        <f t="shared" ca="1" si="9"/>
        <v>1145158.6200000001</v>
      </c>
      <c r="AP14" s="63">
        <f t="shared" ca="1" si="9"/>
        <v>899402.96000000008</v>
      </c>
      <c r="AQ14" s="63">
        <f t="shared" ca="1" si="9"/>
        <v>793517.04999999993</v>
      </c>
      <c r="AR14" s="63">
        <f t="shared" ca="1" si="9"/>
        <v>685215.78</v>
      </c>
    </row>
    <row r="15" spans="1:58" x14ac:dyDescent="0.25"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63"/>
      <c r="AH15" s="63"/>
    </row>
    <row r="16" spans="1:58" s="75" customFormat="1" x14ac:dyDescent="0.25">
      <c r="A16" s="75" t="s">
        <v>312</v>
      </c>
      <c r="B16" s="422">
        <f ca="1">SUM(I16:T16)</f>
        <v>48</v>
      </c>
      <c r="C16" s="423">
        <f>SUM(U16:AF16)</f>
        <v>128433.38022446193</v>
      </c>
      <c r="D16" s="300">
        <f ca="1">SUM(AG16:AR16)</f>
        <v>818632.44</v>
      </c>
      <c r="E16" s="425"/>
      <c r="F16" s="425"/>
      <c r="G16" s="425"/>
      <c r="H16" s="425" t="s">
        <v>312</v>
      </c>
      <c r="I16" s="424">
        <f ca="1">SBR!O17</f>
        <v>4</v>
      </c>
      <c r="J16" s="424">
        <f ca="1">SBR!P17</f>
        <v>4</v>
      </c>
      <c r="K16" s="424">
        <f ca="1">SBR!Q17</f>
        <v>4</v>
      </c>
      <c r="L16" s="424">
        <f ca="1">SBR!R17</f>
        <v>4</v>
      </c>
      <c r="M16" s="424">
        <f ca="1">SBR!S17</f>
        <v>4</v>
      </c>
      <c r="N16" s="424">
        <f ca="1">SBR!T17</f>
        <v>4</v>
      </c>
      <c r="O16" s="424">
        <f ca="1">SBR!U17</f>
        <v>4</v>
      </c>
      <c r="P16" s="424">
        <f ca="1">SBR!V17</f>
        <v>4</v>
      </c>
      <c r="Q16" s="424">
        <f ca="1">SBR!W17</f>
        <v>4</v>
      </c>
      <c r="R16" s="424">
        <f ca="1">SBR!X17</f>
        <v>4</v>
      </c>
      <c r="S16" s="424">
        <f ca="1">SBR!Y17</f>
        <v>4</v>
      </c>
      <c r="T16" s="424">
        <f ca="1">SBR!Z17</f>
        <v>4</v>
      </c>
      <c r="U16" s="586">
        <f>SBR!AA17</f>
        <v>11212.802066129712</v>
      </c>
      <c r="V16" s="586">
        <f>SBR!AB17</f>
        <v>10996.878568188769</v>
      </c>
      <c r="W16" s="586">
        <f>SBR!AC17</f>
        <v>11233.635961047115</v>
      </c>
      <c r="X16" s="586">
        <f>SBR!AD17</f>
        <v>17414.363126225155</v>
      </c>
      <c r="Y16" s="586">
        <f>SBR!AE17</f>
        <v>13101.131347314804</v>
      </c>
      <c r="Z16" s="586">
        <f>SBR!AF17</f>
        <v>11697.322792824853</v>
      </c>
      <c r="AA16" s="586">
        <f>SBR!AG17</f>
        <v>11149.993183389173</v>
      </c>
      <c r="AB16" s="586">
        <f>SBR!AH17</f>
        <v>9312.7215924835309</v>
      </c>
      <c r="AC16" s="586">
        <f>SBR!AI17</f>
        <v>7178.3327891545632</v>
      </c>
      <c r="AD16" s="586">
        <f>SBR!AJ17</f>
        <v>7491.9284577140616</v>
      </c>
      <c r="AE16" s="586">
        <f>SBR!AK17</f>
        <v>8266.0085769953712</v>
      </c>
      <c r="AF16" s="586">
        <f>SBR!AL17</f>
        <v>9378.261762994809</v>
      </c>
      <c r="AG16" s="424">
        <f ca="1">SBR!AM17</f>
        <v>66991.17</v>
      </c>
      <c r="AH16" s="424">
        <f ca="1">SBR!AN17</f>
        <v>63571.98</v>
      </c>
      <c r="AI16" s="424">
        <f ca="1">SBR!AO17</f>
        <v>63503.62</v>
      </c>
      <c r="AJ16" s="424">
        <f ca="1">SBR!AP17</f>
        <v>74742.06</v>
      </c>
      <c r="AK16" s="424">
        <f ca="1">SBR!AQ17</f>
        <v>71558.320000000007</v>
      </c>
      <c r="AL16" s="424">
        <f ca="1">SBR!AR17</f>
        <v>69574.740000000005</v>
      </c>
      <c r="AM16" s="424">
        <f ca="1">SBR!AS17</f>
        <v>75144.47</v>
      </c>
      <c r="AN16" s="424">
        <f ca="1">SBR!AT17</f>
        <v>70104.570000000007</v>
      </c>
      <c r="AO16" s="424">
        <f ca="1">SBR!AU17</f>
        <v>61692.3</v>
      </c>
      <c r="AP16" s="424">
        <f ca="1">SBR!AV17</f>
        <v>65723.13</v>
      </c>
      <c r="AQ16" s="424">
        <f ca="1">SBR!AW17</f>
        <v>69872.460000000006</v>
      </c>
      <c r="AR16" s="424">
        <f ca="1">SBR!AX17</f>
        <v>66153.62</v>
      </c>
      <c r="AS16" s="57"/>
      <c r="AT16" s="57"/>
      <c r="AU16" s="57"/>
      <c r="AV16" s="57"/>
      <c r="AW16" s="57"/>
      <c r="AX16" s="57"/>
      <c r="AY16" s="425"/>
      <c r="AZ16" s="57"/>
      <c r="BA16" s="57"/>
      <c r="BB16" s="57"/>
      <c r="BC16" s="57"/>
      <c r="BD16" s="57"/>
      <c r="BE16" s="57"/>
      <c r="BF16" s="57"/>
    </row>
    <row r="17" spans="1:58" s="75" customFormat="1" x14ac:dyDescent="0.25">
      <c r="A17" s="75" t="s">
        <v>313</v>
      </c>
      <c r="B17" s="422">
        <f t="shared" ref="B17:B18" ca="1" si="10">SUM(I17:T17)</f>
        <v>0</v>
      </c>
      <c r="C17" s="423">
        <f t="shared" ref="C17:C18" si="11">SUM(U17:AF17)</f>
        <v>0</v>
      </c>
      <c r="D17" s="300">
        <f ca="1">SUM(AG17:AR17)</f>
        <v>0</v>
      </c>
      <c r="E17" s="425"/>
      <c r="F17" s="425"/>
      <c r="G17" s="425"/>
      <c r="H17" s="425" t="s">
        <v>313</v>
      </c>
      <c r="I17" s="424">
        <f ca="1">SBR!O18</f>
        <v>0</v>
      </c>
      <c r="J17" s="424">
        <f ca="1">SBR!P18</f>
        <v>0</v>
      </c>
      <c r="K17" s="424">
        <f ca="1">SBR!Q18</f>
        <v>0</v>
      </c>
      <c r="L17" s="424">
        <f ca="1">SBR!R18</f>
        <v>0</v>
      </c>
      <c r="M17" s="424">
        <f ca="1">SBR!S18</f>
        <v>0</v>
      </c>
      <c r="N17" s="424">
        <f ca="1">SBR!T18</f>
        <v>0</v>
      </c>
      <c r="O17" s="424">
        <f ca="1">SBR!U18</f>
        <v>0</v>
      </c>
      <c r="P17" s="424">
        <f ca="1">SBR!V18</f>
        <v>0</v>
      </c>
      <c r="Q17" s="424">
        <f ca="1">SBR!W18</f>
        <v>0</v>
      </c>
      <c r="R17" s="424">
        <f ca="1">SBR!X18</f>
        <v>0</v>
      </c>
      <c r="S17" s="424">
        <f ca="1">SBR!Y18</f>
        <v>0</v>
      </c>
      <c r="T17" s="424">
        <f ca="1">SBR!Z18</f>
        <v>0</v>
      </c>
      <c r="U17" s="586">
        <f>SBR!AA18</f>
        <v>0</v>
      </c>
      <c r="V17" s="586">
        <f>SBR!AB18</f>
        <v>0</v>
      </c>
      <c r="W17" s="586">
        <f>SBR!AC18</f>
        <v>0</v>
      </c>
      <c r="X17" s="586">
        <f>SBR!AD18</f>
        <v>0</v>
      </c>
      <c r="Y17" s="586">
        <f>SBR!AE18</f>
        <v>0</v>
      </c>
      <c r="Z17" s="586">
        <f>SBR!AF18</f>
        <v>0</v>
      </c>
      <c r="AA17" s="586">
        <f>SBR!AG18</f>
        <v>0</v>
      </c>
      <c r="AB17" s="586">
        <f>SBR!AH18</f>
        <v>0</v>
      </c>
      <c r="AC17" s="586">
        <f>SBR!AI18</f>
        <v>0</v>
      </c>
      <c r="AD17" s="586">
        <f>SBR!AJ18</f>
        <v>0</v>
      </c>
      <c r="AE17" s="586">
        <f>SBR!AK18</f>
        <v>0</v>
      </c>
      <c r="AF17" s="586">
        <f>SBR!AL18</f>
        <v>0</v>
      </c>
      <c r="AG17" s="424">
        <f ca="1">SBR!AM18</f>
        <v>0</v>
      </c>
      <c r="AH17" s="424">
        <f ca="1">SBR!AN18</f>
        <v>0</v>
      </c>
      <c r="AI17" s="424">
        <f ca="1">SBR!AO18</f>
        <v>0</v>
      </c>
      <c r="AJ17" s="424">
        <f ca="1">SBR!AP18</f>
        <v>0</v>
      </c>
      <c r="AK17" s="424">
        <f ca="1">SBR!AQ18</f>
        <v>0</v>
      </c>
      <c r="AL17" s="424">
        <f ca="1">SBR!AR18</f>
        <v>0</v>
      </c>
      <c r="AM17" s="424">
        <f ca="1">SBR!AS18</f>
        <v>0</v>
      </c>
      <c r="AN17" s="424">
        <f ca="1">SBR!AT18</f>
        <v>0</v>
      </c>
      <c r="AO17" s="424">
        <f ca="1">SBR!AU18</f>
        <v>0</v>
      </c>
      <c r="AP17" s="424">
        <f ca="1">SBR!AV18</f>
        <v>0</v>
      </c>
      <c r="AQ17" s="424">
        <f ca="1">SBR!AW18</f>
        <v>0</v>
      </c>
      <c r="AR17" s="424">
        <f ca="1">SBR!AX18</f>
        <v>0</v>
      </c>
      <c r="AS17" s="57"/>
      <c r="AT17" s="57"/>
      <c r="AU17" s="57"/>
      <c r="AV17" s="57"/>
      <c r="AW17" s="57"/>
      <c r="AX17" s="57"/>
      <c r="AY17" s="425"/>
      <c r="AZ17" s="57"/>
      <c r="BA17" s="57"/>
      <c r="BB17" s="57"/>
      <c r="BC17" s="57"/>
      <c r="BD17" s="57"/>
      <c r="BE17" s="57"/>
      <c r="BF17" s="57"/>
    </row>
    <row r="18" spans="1:58" s="75" customFormat="1" x14ac:dyDescent="0.25">
      <c r="A18" s="75" t="s">
        <v>447</v>
      </c>
      <c r="B18" s="426">
        <f t="shared" si="10"/>
        <v>24</v>
      </c>
      <c r="C18" s="280">
        <f t="shared" si="11"/>
        <v>255682.92084060452</v>
      </c>
      <c r="D18" s="69">
        <f ca="1">SUM(AG18:AR18)</f>
        <v>258295.03</v>
      </c>
      <c r="E18" s="425"/>
      <c r="F18" s="425"/>
      <c r="G18" s="425"/>
      <c r="H18" s="425" t="s">
        <v>447</v>
      </c>
      <c r="I18" s="80">
        <f>SBR!O40</f>
        <v>2</v>
      </c>
      <c r="J18" s="80">
        <f>SBR!P40</f>
        <v>2</v>
      </c>
      <c r="K18" s="80">
        <f>SBR!Q40</f>
        <v>2</v>
      </c>
      <c r="L18" s="80">
        <f>SBR!R40</f>
        <v>2</v>
      </c>
      <c r="M18" s="80">
        <f>SBR!S40</f>
        <v>2</v>
      </c>
      <c r="N18" s="80">
        <f>SBR!T40</f>
        <v>2</v>
      </c>
      <c r="O18" s="80">
        <f>SBR!U40</f>
        <v>2</v>
      </c>
      <c r="P18" s="80">
        <f>SBR!V40</f>
        <v>2</v>
      </c>
      <c r="Q18" s="80">
        <f>SBR!W40</f>
        <v>2</v>
      </c>
      <c r="R18" s="80">
        <f>SBR!X40</f>
        <v>2</v>
      </c>
      <c r="S18" s="80">
        <f>SBR!Y40</f>
        <v>2</v>
      </c>
      <c r="T18" s="80">
        <f>SBR!Z40</f>
        <v>2</v>
      </c>
      <c r="U18" s="584">
        <f>SBR!AA40</f>
        <v>13248.499890195446</v>
      </c>
      <c r="V18" s="584">
        <f>SBR!AB40</f>
        <v>3399.355208860236</v>
      </c>
      <c r="W18" s="584">
        <f>SBR!AC40</f>
        <v>24293.027842465301</v>
      </c>
      <c r="X18" s="584">
        <f>SBR!AD40</f>
        <v>43936.846015835763</v>
      </c>
      <c r="Y18" s="584">
        <f>SBR!AE40</f>
        <v>50393.077664057062</v>
      </c>
      <c r="Z18" s="584">
        <f>SBR!AF40</f>
        <v>36536.384880028832</v>
      </c>
      <c r="AA18" s="584">
        <f>SBR!AG40</f>
        <v>21910.005295801791</v>
      </c>
      <c r="AB18" s="584">
        <f>SBR!AH40</f>
        <v>12873.799739643804</v>
      </c>
      <c r="AC18" s="584">
        <f>SBR!AI40</f>
        <v>15918.464883627566</v>
      </c>
      <c r="AD18" s="584">
        <f>SBR!AJ40</f>
        <v>15386.666585888479</v>
      </c>
      <c r="AE18" s="584">
        <f>SBR!AK40</f>
        <v>8164.4209796613668</v>
      </c>
      <c r="AF18" s="584">
        <f>SBR!AL40</f>
        <v>9622.3718545388583</v>
      </c>
      <c r="AG18" s="80">
        <f ca="1">SBR!AM40</f>
        <v>14641.08</v>
      </c>
      <c r="AH18" s="80">
        <f ca="1">SBR!AN40</f>
        <v>5962.83</v>
      </c>
      <c r="AI18" s="80">
        <f ca="1">SBR!AO40</f>
        <v>24367.73</v>
      </c>
      <c r="AJ18" s="80">
        <f ca="1">SBR!AP40</f>
        <v>39559.660000000003</v>
      </c>
      <c r="AK18" s="80">
        <f ca="1">SBR!AQ40</f>
        <v>44795.76</v>
      </c>
      <c r="AL18" s="80">
        <f ca="1">SBR!AR40</f>
        <v>33984.6</v>
      </c>
      <c r="AM18" s="80">
        <f ca="1">SBR!AS40</f>
        <v>22385.59</v>
      </c>
      <c r="AN18" s="80">
        <f ca="1">SBR!AT40</f>
        <v>14706.81</v>
      </c>
      <c r="AO18" s="80">
        <f ca="1">SBR!AU40</f>
        <v>18059.96</v>
      </c>
      <c r="AP18" s="80">
        <f ca="1">SBR!AV40</f>
        <v>17178.78</v>
      </c>
      <c r="AQ18" s="80">
        <f ca="1">SBR!AW40</f>
        <v>10570.16</v>
      </c>
      <c r="AR18" s="80">
        <f ca="1">SBR!AX40</f>
        <v>12082.07</v>
      </c>
      <c r="AS18" s="57"/>
      <c r="AT18" s="57"/>
      <c r="AU18" s="57"/>
      <c r="AV18" s="57"/>
      <c r="AW18" s="57"/>
      <c r="AX18" s="57"/>
      <c r="AZ18" s="57"/>
      <c r="BA18" s="57"/>
      <c r="BB18" s="57"/>
      <c r="BC18" s="57"/>
      <c r="BD18" s="57"/>
      <c r="BE18" s="57"/>
      <c r="BF18" s="57"/>
    </row>
    <row r="19" spans="1:58" s="75" customFormat="1" x14ac:dyDescent="0.25">
      <c r="A19" s="427" t="s">
        <v>257</v>
      </c>
      <c r="B19" s="428">
        <f ca="1">SUM(B16:B18)</f>
        <v>72</v>
      </c>
      <c r="C19" s="284">
        <f>SUM(C16:C18)</f>
        <v>384116.30106506648</v>
      </c>
      <c r="D19" s="300">
        <f ca="1">SUM(D16:D18)</f>
        <v>1076927.47</v>
      </c>
      <c r="F19" s="284"/>
      <c r="H19" s="427" t="s">
        <v>314</v>
      </c>
      <c r="I19" s="76">
        <f t="shared" ref="I19:AR19" ca="1" si="12">SUM(I16:I18)</f>
        <v>6</v>
      </c>
      <c r="J19" s="76">
        <f t="shared" ca="1" si="12"/>
        <v>6</v>
      </c>
      <c r="K19" s="76">
        <f t="shared" ca="1" si="12"/>
        <v>6</v>
      </c>
      <c r="L19" s="76">
        <f t="shared" ca="1" si="12"/>
        <v>6</v>
      </c>
      <c r="M19" s="76">
        <f t="shared" ca="1" si="12"/>
        <v>6</v>
      </c>
      <c r="N19" s="76">
        <f t="shared" ca="1" si="12"/>
        <v>6</v>
      </c>
      <c r="O19" s="76">
        <f t="shared" ca="1" si="12"/>
        <v>6</v>
      </c>
      <c r="P19" s="76">
        <f t="shared" ca="1" si="12"/>
        <v>6</v>
      </c>
      <c r="Q19" s="76">
        <f t="shared" ca="1" si="12"/>
        <v>6</v>
      </c>
      <c r="R19" s="76">
        <f t="shared" ca="1" si="12"/>
        <v>6</v>
      </c>
      <c r="S19" s="76">
        <f t="shared" ca="1" si="12"/>
        <v>6</v>
      </c>
      <c r="T19" s="76">
        <f t="shared" ca="1" si="12"/>
        <v>6</v>
      </c>
      <c r="U19" s="585">
        <f t="shared" si="12"/>
        <v>24461.301956325158</v>
      </c>
      <c r="V19" s="585">
        <f t="shared" si="12"/>
        <v>14396.233777049005</v>
      </c>
      <c r="W19" s="585">
        <f t="shared" si="12"/>
        <v>35526.66380351242</v>
      </c>
      <c r="X19" s="585">
        <f t="shared" si="12"/>
        <v>61351.209142060921</v>
      </c>
      <c r="Y19" s="585">
        <f t="shared" si="12"/>
        <v>63494.209011371866</v>
      </c>
      <c r="Z19" s="585">
        <f t="shared" si="12"/>
        <v>48233.707672853685</v>
      </c>
      <c r="AA19" s="585">
        <f t="shared" si="12"/>
        <v>33059.998479190966</v>
      </c>
      <c r="AB19" s="585">
        <f t="shared" si="12"/>
        <v>22186.521332127333</v>
      </c>
      <c r="AC19" s="585">
        <f t="shared" si="12"/>
        <v>23096.79767278213</v>
      </c>
      <c r="AD19" s="585">
        <f t="shared" si="12"/>
        <v>22878.595043602541</v>
      </c>
      <c r="AE19" s="585">
        <f t="shared" si="12"/>
        <v>16430.429556656738</v>
      </c>
      <c r="AF19" s="585">
        <f t="shared" si="12"/>
        <v>19000.633617533669</v>
      </c>
      <c r="AG19" s="76">
        <f t="shared" ca="1" si="12"/>
        <v>81632.25</v>
      </c>
      <c r="AH19" s="76">
        <f t="shared" ca="1" si="12"/>
        <v>69534.81</v>
      </c>
      <c r="AI19" s="76">
        <f t="shared" ca="1" si="12"/>
        <v>87871.35</v>
      </c>
      <c r="AJ19" s="76">
        <f t="shared" ca="1" si="12"/>
        <v>114301.72</v>
      </c>
      <c r="AK19" s="76">
        <f t="shared" ca="1" si="12"/>
        <v>116354.08000000002</v>
      </c>
      <c r="AL19" s="76">
        <f t="shared" ca="1" si="12"/>
        <v>103559.34</v>
      </c>
      <c r="AM19" s="76">
        <f t="shared" ca="1" si="12"/>
        <v>97530.06</v>
      </c>
      <c r="AN19" s="76">
        <f t="shared" ca="1" si="12"/>
        <v>84811.38</v>
      </c>
      <c r="AO19" s="76">
        <f t="shared" ca="1" si="12"/>
        <v>79752.260000000009</v>
      </c>
      <c r="AP19" s="76">
        <f t="shared" ca="1" si="12"/>
        <v>82901.91</v>
      </c>
      <c r="AQ19" s="76">
        <f t="shared" ca="1" si="12"/>
        <v>80442.62000000001</v>
      </c>
      <c r="AR19" s="76">
        <f t="shared" ca="1" si="12"/>
        <v>78235.69</v>
      </c>
      <c r="AS19" s="57"/>
      <c r="AT19" s="57"/>
      <c r="AU19" s="57"/>
      <c r="AV19" s="57"/>
      <c r="AW19" s="57"/>
      <c r="AX19" s="57"/>
      <c r="AZ19" s="57"/>
      <c r="BA19" s="57"/>
      <c r="BB19" s="57"/>
      <c r="BC19" s="57"/>
      <c r="BD19" s="57"/>
      <c r="BE19" s="57"/>
      <c r="BF19" s="57"/>
    </row>
    <row r="20" spans="1:58" s="75" customFormat="1" x14ac:dyDescent="0.25"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1"/>
      <c r="AF20" s="581"/>
      <c r="AG20" s="76"/>
      <c r="AH20" s="76"/>
      <c r="AM20" s="76"/>
      <c r="AN20" s="76"/>
      <c r="AO20" s="76"/>
      <c r="AP20" s="76"/>
      <c r="AQ20" s="76"/>
      <c r="AR20" s="76"/>
      <c r="AS20" s="57"/>
      <c r="AT20" s="57"/>
      <c r="AU20" s="57"/>
      <c r="AV20" s="57"/>
      <c r="AW20" s="57"/>
      <c r="AX20" s="57"/>
      <c r="AZ20" s="57"/>
      <c r="BA20" s="57"/>
      <c r="BB20" s="57"/>
      <c r="BC20" s="57"/>
      <c r="BD20" s="57"/>
      <c r="BE20" s="57"/>
      <c r="BF20" s="57"/>
    </row>
    <row r="21" spans="1:58" s="75" customFormat="1" x14ac:dyDescent="0.25">
      <c r="A21" s="75" t="s">
        <v>315</v>
      </c>
      <c r="B21" s="428">
        <f>SUM(I21:T21)</f>
        <v>876</v>
      </c>
      <c r="C21" s="284">
        <f>SUM(U21:AF21)</f>
        <v>12313888.497179303</v>
      </c>
      <c r="D21" s="300">
        <f ca="1">SUM(AG21:AR21)+SBR!BG43</f>
        <v>7709355.0799999991</v>
      </c>
      <c r="H21" s="75" t="s">
        <v>315</v>
      </c>
      <c r="I21" s="76">
        <f>+SBR!O43</f>
        <v>73</v>
      </c>
      <c r="J21" s="76">
        <f>+SBR!P43</f>
        <v>73</v>
      </c>
      <c r="K21" s="76">
        <f>+SBR!Q43</f>
        <v>73</v>
      </c>
      <c r="L21" s="76">
        <f>+SBR!R43</f>
        <v>73</v>
      </c>
      <c r="M21" s="76">
        <f>+SBR!S43</f>
        <v>73</v>
      </c>
      <c r="N21" s="76">
        <f>+SBR!T43</f>
        <v>73</v>
      </c>
      <c r="O21" s="76">
        <f>+SBR!U43</f>
        <v>73</v>
      </c>
      <c r="P21" s="76">
        <f>+SBR!V43</f>
        <v>73</v>
      </c>
      <c r="Q21" s="76">
        <f>+SBR!W43</f>
        <v>73</v>
      </c>
      <c r="R21" s="76">
        <f>+SBR!X43</f>
        <v>73</v>
      </c>
      <c r="S21" s="76">
        <f>+SBR!Y43</f>
        <v>73</v>
      </c>
      <c r="T21" s="76">
        <f>+SBR!Z43</f>
        <v>73</v>
      </c>
      <c r="U21" s="585">
        <f>+SBR!AA43</f>
        <v>693929.80831465789</v>
      </c>
      <c r="V21" s="585">
        <f>+SBR!AB43</f>
        <v>754985.40375137143</v>
      </c>
      <c r="W21" s="585">
        <f>+SBR!AC43</f>
        <v>766088.61745606514</v>
      </c>
      <c r="X21" s="585">
        <f>+SBR!AD43</f>
        <v>1131979.0608328255</v>
      </c>
      <c r="Y21" s="585">
        <f>+SBR!AE43</f>
        <v>1406728.2446911135</v>
      </c>
      <c r="Z21" s="585">
        <f>+SBR!AF43</f>
        <v>1479497.5100335963</v>
      </c>
      <c r="AA21" s="585">
        <f>+SBR!AG43</f>
        <v>1529525.7739041899</v>
      </c>
      <c r="AB21" s="585">
        <f>+SBR!AH43</f>
        <v>1329594.1137332805</v>
      </c>
      <c r="AC21" s="585">
        <f>+SBR!AI43</f>
        <v>1054879.0468900374</v>
      </c>
      <c r="AD21" s="585">
        <f>+SBR!AJ43</f>
        <v>774703.90350928297</v>
      </c>
      <c r="AE21" s="585">
        <f>+SBR!AK43</f>
        <v>709778.56689239247</v>
      </c>
      <c r="AF21" s="585">
        <f>+SBR!AL43</f>
        <v>682198.44717049098</v>
      </c>
      <c r="AG21" s="76">
        <f ca="1">+SBR!AM43</f>
        <v>510013.43</v>
      </c>
      <c r="AH21" s="76">
        <f ca="1">+SBR!AN43</f>
        <v>581478.96</v>
      </c>
      <c r="AI21" s="76">
        <f ca="1">+SBR!AO43</f>
        <v>577695.63</v>
      </c>
      <c r="AJ21" s="76">
        <f ca="1">+SBR!AP43</f>
        <v>798548.98</v>
      </c>
      <c r="AK21" s="76">
        <f ca="1">+SBR!AQ43</f>
        <v>804037.17</v>
      </c>
      <c r="AL21" s="76">
        <f ca="1">+SBR!AR43</f>
        <v>723494.87</v>
      </c>
      <c r="AM21" s="76">
        <f ca="1">+SBR!AS43</f>
        <v>777331.76</v>
      </c>
      <c r="AN21" s="76">
        <f ca="1">+SBR!AT43</f>
        <v>697981.08</v>
      </c>
      <c r="AO21" s="76">
        <f ca="1">+SBR!AU43</f>
        <v>609896.01</v>
      </c>
      <c r="AP21" s="76">
        <f ca="1">+SBR!AV43</f>
        <v>517814.23</v>
      </c>
      <c r="AQ21" s="76">
        <f ca="1">+SBR!AW43</f>
        <v>550345.61</v>
      </c>
      <c r="AR21" s="76">
        <f ca="1">+SBR!AX43</f>
        <v>560717.35</v>
      </c>
      <c r="AS21" s="57"/>
      <c r="AT21" s="57"/>
      <c r="AU21" s="57"/>
      <c r="AV21" s="57"/>
      <c r="AW21" s="57"/>
      <c r="AX21" s="57"/>
      <c r="AZ21" s="57"/>
      <c r="BA21" s="57"/>
      <c r="BB21" s="57"/>
      <c r="BC21" s="57"/>
      <c r="BD21" s="57"/>
      <c r="BE21" s="57"/>
      <c r="BF21" s="57"/>
    </row>
    <row r="22" spans="1:58" s="75" customFormat="1" x14ac:dyDescent="0.25">
      <c r="A22" s="75" t="s">
        <v>316</v>
      </c>
      <c r="B22" s="426">
        <f>SUM(I22:T22)</f>
        <v>0</v>
      </c>
      <c r="C22" s="280">
        <f>SUM(U22:AF22)</f>
        <v>0</v>
      </c>
      <c r="D22" s="69">
        <f ca="1">SUM(AG22:AR22)+SBR!BG44</f>
        <v>0</v>
      </c>
      <c r="H22" s="75" t="s">
        <v>316</v>
      </c>
      <c r="I22" s="80">
        <f>+SBR!O44</f>
        <v>0</v>
      </c>
      <c r="J22" s="80">
        <f>+SBR!P44</f>
        <v>0</v>
      </c>
      <c r="K22" s="80">
        <f>+SBR!Q44</f>
        <v>0</v>
      </c>
      <c r="L22" s="80">
        <f>+SBR!R44</f>
        <v>0</v>
      </c>
      <c r="M22" s="80">
        <f>+SBR!S44</f>
        <v>0</v>
      </c>
      <c r="N22" s="80">
        <f>+SBR!T44</f>
        <v>0</v>
      </c>
      <c r="O22" s="80">
        <f>+SBR!U44</f>
        <v>0</v>
      </c>
      <c r="P22" s="80">
        <f>+SBR!V44</f>
        <v>0</v>
      </c>
      <c r="Q22" s="80">
        <f>+SBR!W44</f>
        <v>0</v>
      </c>
      <c r="R22" s="80">
        <f>+SBR!X44</f>
        <v>0</v>
      </c>
      <c r="S22" s="80">
        <f>+SBR!Y44</f>
        <v>0</v>
      </c>
      <c r="T22" s="80">
        <f>+SBR!Z44</f>
        <v>0</v>
      </c>
      <c r="U22" s="584">
        <f>+SBR!AA44</f>
        <v>0</v>
      </c>
      <c r="V22" s="584">
        <f>+SBR!AB44</f>
        <v>0</v>
      </c>
      <c r="W22" s="584">
        <f>+SBR!AC44</f>
        <v>0</v>
      </c>
      <c r="X22" s="584">
        <f>+SBR!AD44</f>
        <v>0</v>
      </c>
      <c r="Y22" s="584">
        <f>+SBR!AE44</f>
        <v>0</v>
      </c>
      <c r="Z22" s="584">
        <f>+SBR!AF44</f>
        <v>0</v>
      </c>
      <c r="AA22" s="584">
        <f>+SBR!AG44</f>
        <v>0</v>
      </c>
      <c r="AB22" s="584">
        <f>+SBR!AH44</f>
        <v>0</v>
      </c>
      <c r="AC22" s="584">
        <f>+SBR!AI44</f>
        <v>0</v>
      </c>
      <c r="AD22" s="584">
        <f>+SBR!AJ44</f>
        <v>0</v>
      </c>
      <c r="AE22" s="584">
        <f>+SBR!AK44</f>
        <v>0</v>
      </c>
      <c r="AF22" s="584">
        <f>+SBR!AL44</f>
        <v>0</v>
      </c>
      <c r="AG22" s="80">
        <f ca="1">+SBR!AM44</f>
        <v>0</v>
      </c>
      <c r="AH22" s="80">
        <f ca="1">+SBR!AN44</f>
        <v>0</v>
      </c>
      <c r="AI22" s="80">
        <f ca="1">+SBR!AO44</f>
        <v>0</v>
      </c>
      <c r="AJ22" s="80">
        <f ca="1">+SBR!AP44</f>
        <v>0</v>
      </c>
      <c r="AK22" s="80">
        <f ca="1">+SBR!AQ44</f>
        <v>0</v>
      </c>
      <c r="AL22" s="80">
        <f ca="1">+SBR!AR44</f>
        <v>0</v>
      </c>
      <c r="AM22" s="80">
        <f ca="1">+SBR!AS44</f>
        <v>0</v>
      </c>
      <c r="AN22" s="80">
        <f ca="1">+SBR!AT44</f>
        <v>0</v>
      </c>
      <c r="AO22" s="80">
        <f ca="1">+SBR!AU44</f>
        <v>0</v>
      </c>
      <c r="AP22" s="80">
        <f ca="1">+SBR!AV44</f>
        <v>0</v>
      </c>
      <c r="AQ22" s="80">
        <f ca="1">+SBR!AW44</f>
        <v>0</v>
      </c>
      <c r="AR22" s="80">
        <f ca="1">+SBR!AX44</f>
        <v>0</v>
      </c>
      <c r="AS22" s="57"/>
      <c r="AT22" s="57"/>
      <c r="AU22" s="57"/>
      <c r="AV22" s="57"/>
      <c r="AW22" s="57"/>
      <c r="AX22" s="57"/>
      <c r="AZ22" s="57"/>
      <c r="BA22" s="57"/>
      <c r="BB22" s="57"/>
      <c r="BC22" s="57"/>
      <c r="BD22" s="57"/>
      <c r="BE22" s="57"/>
      <c r="BF22" s="57"/>
    </row>
    <row r="23" spans="1:58" s="75" customFormat="1" x14ac:dyDescent="0.25">
      <c r="A23" s="427" t="s">
        <v>259</v>
      </c>
      <c r="B23" s="428">
        <f>SUM(B21:B22)</f>
        <v>876</v>
      </c>
      <c r="C23" s="428">
        <f>SUM(C21:C22)</f>
        <v>12313888.497179303</v>
      </c>
      <c r="D23" s="300">
        <f ca="1">SUM(D21:D22)</f>
        <v>7709355.0799999991</v>
      </c>
      <c r="E23" s="428"/>
      <c r="H23" s="427" t="s">
        <v>317</v>
      </c>
      <c r="I23" s="76">
        <f>SUM(I21:I22)</f>
        <v>73</v>
      </c>
      <c r="J23" s="76">
        <f t="shared" ref="J23:T23" si="13">SUM(J21:J22)</f>
        <v>73</v>
      </c>
      <c r="K23" s="76">
        <f t="shared" si="13"/>
        <v>73</v>
      </c>
      <c r="L23" s="76">
        <f t="shared" si="13"/>
        <v>73</v>
      </c>
      <c r="M23" s="76">
        <f t="shared" si="13"/>
        <v>73</v>
      </c>
      <c r="N23" s="76">
        <f t="shared" si="13"/>
        <v>73</v>
      </c>
      <c r="O23" s="76">
        <f t="shared" si="13"/>
        <v>73</v>
      </c>
      <c r="P23" s="76">
        <f t="shared" si="13"/>
        <v>73</v>
      </c>
      <c r="Q23" s="76">
        <f t="shared" si="13"/>
        <v>73</v>
      </c>
      <c r="R23" s="76">
        <f t="shared" si="13"/>
        <v>73</v>
      </c>
      <c r="S23" s="76">
        <f t="shared" si="13"/>
        <v>73</v>
      </c>
      <c r="T23" s="76">
        <f t="shared" si="13"/>
        <v>73</v>
      </c>
      <c r="U23" s="585">
        <f>SUM(U21:U22)</f>
        <v>693929.80831465789</v>
      </c>
      <c r="V23" s="585">
        <f t="shared" ref="V23:AF23" si="14">SUM(V21:V22)</f>
        <v>754985.40375137143</v>
      </c>
      <c r="W23" s="585">
        <f t="shared" si="14"/>
        <v>766088.61745606514</v>
      </c>
      <c r="X23" s="585">
        <f t="shared" si="14"/>
        <v>1131979.0608328255</v>
      </c>
      <c r="Y23" s="585">
        <f t="shared" si="14"/>
        <v>1406728.2446911135</v>
      </c>
      <c r="Z23" s="585">
        <f t="shared" si="14"/>
        <v>1479497.5100335963</v>
      </c>
      <c r="AA23" s="585">
        <f t="shared" si="14"/>
        <v>1529525.7739041899</v>
      </c>
      <c r="AB23" s="585">
        <f t="shared" si="14"/>
        <v>1329594.1137332805</v>
      </c>
      <c r="AC23" s="585">
        <f t="shared" si="14"/>
        <v>1054879.0468900374</v>
      </c>
      <c r="AD23" s="585">
        <f t="shared" si="14"/>
        <v>774703.90350928297</v>
      </c>
      <c r="AE23" s="585">
        <f t="shared" si="14"/>
        <v>709778.56689239247</v>
      </c>
      <c r="AF23" s="585">
        <f t="shared" si="14"/>
        <v>682198.44717049098</v>
      </c>
      <c r="AG23" s="76">
        <f ca="1">SUM(AG21:AG22)</f>
        <v>510013.43</v>
      </c>
      <c r="AH23" s="76">
        <f t="shared" ref="AH23:AR23" ca="1" si="15">SUM(AH21:AH22)</f>
        <v>581478.96</v>
      </c>
      <c r="AI23" s="76">
        <f t="shared" ca="1" si="15"/>
        <v>577695.63</v>
      </c>
      <c r="AJ23" s="76">
        <f t="shared" ca="1" si="15"/>
        <v>798548.98</v>
      </c>
      <c r="AK23" s="76">
        <f t="shared" ca="1" si="15"/>
        <v>804037.17</v>
      </c>
      <c r="AL23" s="76">
        <f t="shared" ca="1" si="15"/>
        <v>723494.87</v>
      </c>
      <c r="AM23" s="76">
        <f t="shared" ca="1" si="15"/>
        <v>777331.76</v>
      </c>
      <c r="AN23" s="76">
        <f t="shared" ca="1" si="15"/>
        <v>697981.08</v>
      </c>
      <c r="AO23" s="76">
        <f t="shared" ca="1" si="15"/>
        <v>609896.01</v>
      </c>
      <c r="AP23" s="76">
        <f t="shared" ca="1" si="15"/>
        <v>517814.23</v>
      </c>
      <c r="AQ23" s="76">
        <f t="shared" ca="1" si="15"/>
        <v>550345.61</v>
      </c>
      <c r="AR23" s="76">
        <f t="shared" ca="1" si="15"/>
        <v>560717.35</v>
      </c>
      <c r="AS23" s="57"/>
      <c r="AT23" s="57"/>
      <c r="AU23" s="57"/>
      <c r="AV23" s="57"/>
      <c r="AW23" s="57"/>
      <c r="AX23" s="57"/>
      <c r="AZ23" s="57"/>
      <c r="BA23" s="57"/>
      <c r="BB23" s="57"/>
      <c r="BC23" s="57"/>
      <c r="BD23" s="57"/>
      <c r="BE23" s="57"/>
      <c r="BF23" s="57"/>
    </row>
    <row r="24" spans="1:58" s="75" customFormat="1" x14ac:dyDescent="0.25">
      <c r="A24" s="427"/>
      <c r="B24" s="428"/>
      <c r="C24" s="284"/>
      <c r="D24" s="76"/>
      <c r="E24" s="428"/>
      <c r="H24" s="427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57"/>
      <c r="AT24" s="57"/>
      <c r="AU24" s="57"/>
      <c r="AV24" s="57"/>
      <c r="AW24" s="57"/>
      <c r="AX24" s="57"/>
      <c r="AZ24" s="57"/>
      <c r="BA24" s="57"/>
      <c r="BB24" s="57"/>
      <c r="BC24" s="57"/>
      <c r="BD24" s="57"/>
      <c r="BE24" s="57"/>
      <c r="BF24" s="57"/>
    </row>
    <row r="25" spans="1:58" s="75" customFormat="1" x14ac:dyDescent="0.25">
      <c r="A25" s="427"/>
      <c r="B25" s="428"/>
      <c r="C25" s="284"/>
      <c r="D25" s="76"/>
      <c r="E25" s="428"/>
      <c r="H25" s="427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585"/>
      <c r="V25" s="585"/>
      <c r="W25" s="585"/>
      <c r="X25" s="585"/>
      <c r="Y25" s="585"/>
      <c r="Z25" s="585"/>
      <c r="AA25" s="585"/>
      <c r="AB25" s="585"/>
      <c r="AC25" s="585"/>
      <c r="AD25" s="585"/>
      <c r="AE25" s="585"/>
      <c r="AF25" s="585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57"/>
      <c r="AT25" s="57"/>
      <c r="AU25" s="57"/>
      <c r="AV25" s="57"/>
      <c r="AW25" s="57"/>
      <c r="AX25" s="57"/>
      <c r="AZ25" s="57"/>
      <c r="BA25" s="57"/>
      <c r="BB25" s="57"/>
      <c r="BC25" s="57"/>
      <c r="BD25" s="57"/>
      <c r="BE25" s="57"/>
      <c r="BF25" s="57"/>
    </row>
    <row r="26" spans="1:58" s="75" customFormat="1" x14ac:dyDescent="0.25">
      <c r="A26" s="429" t="s">
        <v>750</v>
      </c>
      <c r="B26" s="428">
        <f>SUM(I26:T26)</f>
        <v>12</v>
      </c>
      <c r="C26" s="284">
        <f>SUM(U26:AF26)</f>
        <v>154579.79999999999</v>
      </c>
      <c r="D26" s="300">
        <f ca="1">SUM(AG26:AR26)+SBR!BG28</f>
        <v>2922300.5600000005</v>
      </c>
      <c r="H26" s="429" t="s">
        <v>750</v>
      </c>
      <c r="I26" s="76">
        <f>+SBR!O28</f>
        <v>1</v>
      </c>
      <c r="J26" s="76">
        <f>+SBR!P28</f>
        <v>1</v>
      </c>
      <c r="K26" s="76">
        <f>+SBR!Q28</f>
        <v>1</v>
      </c>
      <c r="L26" s="76">
        <f>+SBR!R28</f>
        <v>1</v>
      </c>
      <c r="M26" s="76">
        <f>+SBR!S28</f>
        <v>1</v>
      </c>
      <c r="N26" s="76">
        <f>+SBR!T28</f>
        <v>1</v>
      </c>
      <c r="O26" s="76">
        <f>+SBR!U28</f>
        <v>1</v>
      </c>
      <c r="P26" s="76">
        <f>+SBR!V28</f>
        <v>1</v>
      </c>
      <c r="Q26" s="76">
        <f>+SBR!W28</f>
        <v>1</v>
      </c>
      <c r="R26" s="76">
        <f>+SBR!X28</f>
        <v>1</v>
      </c>
      <c r="S26" s="76">
        <f>+SBR!Y28</f>
        <v>1</v>
      </c>
      <c r="T26" s="76">
        <f>+SBR!Z28</f>
        <v>1</v>
      </c>
      <c r="U26" s="585">
        <f>+SBR!AA28</f>
        <v>13182.900000000001</v>
      </c>
      <c r="V26" s="585">
        <f>+SBR!AB28</f>
        <v>13395.900000000001</v>
      </c>
      <c r="W26" s="585">
        <f>+SBR!AC28</f>
        <v>12191.800000000001</v>
      </c>
      <c r="X26" s="585">
        <f>+SBR!AD28</f>
        <v>14343.800000000001</v>
      </c>
      <c r="Y26" s="585">
        <f>+SBR!AE28</f>
        <v>15460.1</v>
      </c>
      <c r="Z26" s="585">
        <f>+SBR!AF28</f>
        <v>12236.5</v>
      </c>
      <c r="AA26" s="585">
        <f>+SBR!AG28</f>
        <v>12279.599999999999</v>
      </c>
      <c r="AB26" s="585">
        <f>+SBR!AH28</f>
        <v>11339</v>
      </c>
      <c r="AC26" s="585">
        <f>+SBR!AI28</f>
        <v>12191.899999999994</v>
      </c>
      <c r="AD26" s="585">
        <f>+SBR!AJ28</f>
        <v>13486.899999999998</v>
      </c>
      <c r="AE26" s="585">
        <f>+SBR!AK28</f>
        <v>12279.599999999999</v>
      </c>
      <c r="AF26" s="585">
        <f>+SBR!AL28</f>
        <v>12191.799999999997</v>
      </c>
      <c r="AG26" s="76">
        <f ca="1">+SBR!AM28</f>
        <v>239029.51</v>
      </c>
      <c r="AH26" s="76">
        <f ca="1">+SBR!AN28</f>
        <v>234018.11</v>
      </c>
      <c r="AI26" s="76">
        <f ca="1">+SBR!AO28</f>
        <v>232742.54</v>
      </c>
      <c r="AJ26" s="76">
        <f ca="1">+SBR!AP28</f>
        <v>229763.71</v>
      </c>
      <c r="AK26" s="76">
        <f ca="1">+SBR!AQ28</f>
        <v>248457.85</v>
      </c>
      <c r="AL26" s="76">
        <f ca="1">+SBR!AR28</f>
        <v>239159.11</v>
      </c>
      <c r="AM26" s="76">
        <f ca="1">+SBR!AS28</f>
        <v>243658.43</v>
      </c>
      <c r="AN26" s="76">
        <f ca="1">+SBR!AT28</f>
        <v>243338.83</v>
      </c>
      <c r="AO26" s="76">
        <f ca="1">+SBR!AU28</f>
        <v>254219.51</v>
      </c>
      <c r="AP26" s="76">
        <f ca="1">+SBR!AV28</f>
        <v>264729.51</v>
      </c>
      <c r="AQ26" s="76">
        <f ca="1">+SBR!AW28</f>
        <v>253117.83</v>
      </c>
      <c r="AR26" s="76">
        <f ca="1">+SBR!AX28</f>
        <v>240065.62</v>
      </c>
      <c r="AS26" s="57"/>
      <c r="AT26" s="57"/>
      <c r="AU26" s="57"/>
      <c r="AV26" s="57"/>
      <c r="AW26" s="57"/>
      <c r="AX26" s="57"/>
      <c r="AZ26" s="57"/>
      <c r="BA26" s="57"/>
      <c r="BB26" s="57"/>
      <c r="BC26" s="57"/>
      <c r="BD26" s="57"/>
      <c r="BE26" s="57"/>
      <c r="BF26" s="57"/>
    </row>
    <row r="27" spans="1:58" s="75" customFormat="1" x14ac:dyDescent="0.25">
      <c r="A27" s="75" t="s">
        <v>751</v>
      </c>
      <c r="B27" s="426">
        <f>SUM(I27:T27)</f>
        <v>0</v>
      </c>
      <c r="C27" s="280">
        <f>SUM(U27:AF27)</f>
        <v>0</v>
      </c>
      <c r="D27" s="80">
        <f>SUM(AG27:AR27)+SBR!BG29</f>
        <v>0</v>
      </c>
      <c r="H27" s="75" t="s">
        <v>751</v>
      </c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584">
        <f>+SBR!AA29</f>
        <v>0</v>
      </c>
      <c r="V27" s="584">
        <f>+SBR!AB29</f>
        <v>0</v>
      </c>
      <c r="W27" s="584">
        <f>+SBR!AC29</f>
        <v>0</v>
      </c>
      <c r="X27" s="584">
        <f>+SBR!AD29</f>
        <v>0</v>
      </c>
      <c r="Y27" s="584">
        <f>+SBR!AE29</f>
        <v>0</v>
      </c>
      <c r="Z27" s="584">
        <f>+SBR!AF29</f>
        <v>0</v>
      </c>
      <c r="AA27" s="584">
        <f>+SBR!AG29</f>
        <v>0</v>
      </c>
      <c r="AB27" s="584">
        <f>+SBR!AH29</f>
        <v>0</v>
      </c>
      <c r="AC27" s="584">
        <f>+SBR!AI29</f>
        <v>0</v>
      </c>
      <c r="AD27" s="584">
        <f>+SBR!AJ29</f>
        <v>0</v>
      </c>
      <c r="AE27" s="584">
        <f>+SBR!AK29</f>
        <v>0</v>
      </c>
      <c r="AF27" s="584">
        <f>+SBR!AL29</f>
        <v>0</v>
      </c>
      <c r="AG27" s="80">
        <f>+SBR!AM29</f>
        <v>0</v>
      </c>
      <c r="AH27" s="80">
        <f>+SBR!AN29</f>
        <v>0</v>
      </c>
      <c r="AI27" s="80">
        <f>+SBR!AO29</f>
        <v>0</v>
      </c>
      <c r="AJ27" s="80">
        <f>+SBR!AP29</f>
        <v>0</v>
      </c>
      <c r="AK27" s="80">
        <f>+SBR!AQ29</f>
        <v>0</v>
      </c>
      <c r="AL27" s="80">
        <f>+SBR!AR29</f>
        <v>0</v>
      </c>
      <c r="AM27" s="80">
        <f>+SBR!AS29</f>
        <v>0</v>
      </c>
      <c r="AN27" s="80">
        <f>+SBR!AT29</f>
        <v>0</v>
      </c>
      <c r="AO27" s="80">
        <f>+SBR!AU29</f>
        <v>0</v>
      </c>
      <c r="AP27" s="80">
        <f>+SBR!AV29</f>
        <v>0</v>
      </c>
      <c r="AQ27" s="80">
        <f>+SBR!AW29</f>
        <v>0</v>
      </c>
      <c r="AR27" s="80">
        <f>+SBR!AX29</f>
        <v>0</v>
      </c>
      <c r="AS27" s="57"/>
      <c r="AT27" s="57"/>
      <c r="AU27" s="57"/>
      <c r="AV27" s="57"/>
      <c r="AW27" s="57"/>
      <c r="AX27" s="57"/>
      <c r="AZ27" s="57"/>
      <c r="BA27" s="57"/>
      <c r="BB27" s="57"/>
      <c r="BC27" s="57"/>
      <c r="BD27" s="57"/>
      <c r="BE27" s="57"/>
      <c r="BF27" s="57"/>
    </row>
    <row r="28" spans="1:58" s="75" customFormat="1" x14ac:dyDescent="0.25">
      <c r="A28" s="427" t="s">
        <v>318</v>
      </c>
      <c r="B28" s="428">
        <f>SUM(B26:B27)</f>
        <v>12</v>
      </c>
      <c r="C28" s="284">
        <f>SUM(C26:C27)</f>
        <v>154579.79999999999</v>
      </c>
      <c r="D28" s="300">
        <f ca="1">SUM(D26:D27)</f>
        <v>2922300.5600000005</v>
      </c>
      <c r="H28" s="427" t="s">
        <v>318</v>
      </c>
      <c r="I28" s="76">
        <f>SUM(I26:I27)</f>
        <v>1</v>
      </c>
      <c r="J28" s="76">
        <f t="shared" ref="J28:T28" si="16">SUM(J26:J27)</f>
        <v>1</v>
      </c>
      <c r="K28" s="76">
        <f t="shared" si="16"/>
        <v>1</v>
      </c>
      <c r="L28" s="76">
        <f t="shared" si="16"/>
        <v>1</v>
      </c>
      <c r="M28" s="76">
        <f t="shared" si="16"/>
        <v>1</v>
      </c>
      <c r="N28" s="76">
        <f t="shared" si="16"/>
        <v>1</v>
      </c>
      <c r="O28" s="76">
        <f t="shared" si="16"/>
        <v>1</v>
      </c>
      <c r="P28" s="76">
        <f t="shared" si="16"/>
        <v>1</v>
      </c>
      <c r="Q28" s="76">
        <f t="shared" si="16"/>
        <v>1</v>
      </c>
      <c r="R28" s="76">
        <f t="shared" si="16"/>
        <v>1</v>
      </c>
      <c r="S28" s="76">
        <f t="shared" si="16"/>
        <v>1</v>
      </c>
      <c r="T28" s="76">
        <f t="shared" si="16"/>
        <v>1</v>
      </c>
      <c r="U28" s="585">
        <f>SUM(U26:U27)</f>
        <v>13182.900000000001</v>
      </c>
      <c r="V28" s="585">
        <f t="shared" ref="V28:AF28" si="17">SUM(V26:V27)</f>
        <v>13395.900000000001</v>
      </c>
      <c r="W28" s="585">
        <f t="shared" si="17"/>
        <v>12191.800000000001</v>
      </c>
      <c r="X28" s="585">
        <f t="shared" si="17"/>
        <v>14343.800000000001</v>
      </c>
      <c r="Y28" s="585">
        <f t="shared" si="17"/>
        <v>15460.1</v>
      </c>
      <c r="Z28" s="585">
        <f t="shared" si="17"/>
        <v>12236.5</v>
      </c>
      <c r="AA28" s="585">
        <f t="shared" si="17"/>
        <v>12279.599999999999</v>
      </c>
      <c r="AB28" s="585">
        <f t="shared" si="17"/>
        <v>11339</v>
      </c>
      <c r="AC28" s="585">
        <f t="shared" si="17"/>
        <v>12191.899999999994</v>
      </c>
      <c r="AD28" s="585">
        <f t="shared" si="17"/>
        <v>13486.899999999998</v>
      </c>
      <c r="AE28" s="585">
        <f t="shared" si="17"/>
        <v>12279.599999999999</v>
      </c>
      <c r="AF28" s="585">
        <f t="shared" si="17"/>
        <v>12191.799999999997</v>
      </c>
      <c r="AG28" s="76">
        <f ca="1">SUM(AG26:AG27)</f>
        <v>239029.51</v>
      </c>
      <c r="AH28" s="76">
        <f t="shared" ref="AH28:AR28" ca="1" si="18">SUM(AH26:AH27)</f>
        <v>234018.11</v>
      </c>
      <c r="AI28" s="76">
        <f t="shared" ca="1" si="18"/>
        <v>232742.54</v>
      </c>
      <c r="AJ28" s="76">
        <f t="shared" ca="1" si="18"/>
        <v>229763.71</v>
      </c>
      <c r="AK28" s="76">
        <f t="shared" ca="1" si="18"/>
        <v>248457.85</v>
      </c>
      <c r="AL28" s="76">
        <f t="shared" ca="1" si="18"/>
        <v>239159.11</v>
      </c>
      <c r="AM28" s="76">
        <f t="shared" ca="1" si="18"/>
        <v>243658.43</v>
      </c>
      <c r="AN28" s="76">
        <f t="shared" ca="1" si="18"/>
        <v>243338.83</v>
      </c>
      <c r="AO28" s="76">
        <f t="shared" ca="1" si="18"/>
        <v>254219.51</v>
      </c>
      <c r="AP28" s="76">
        <f t="shared" ca="1" si="18"/>
        <v>264729.51</v>
      </c>
      <c r="AQ28" s="76">
        <f t="shared" ca="1" si="18"/>
        <v>253117.83</v>
      </c>
      <c r="AR28" s="76">
        <f t="shared" ca="1" si="18"/>
        <v>240065.62</v>
      </c>
      <c r="AS28" s="57"/>
      <c r="AT28" s="57"/>
      <c r="AU28" s="57"/>
      <c r="AV28" s="57"/>
      <c r="AW28" s="57"/>
      <c r="AX28" s="57"/>
      <c r="AZ28" s="57"/>
      <c r="BA28" s="57"/>
      <c r="BB28" s="57"/>
      <c r="BC28" s="57"/>
      <c r="BD28" s="57"/>
      <c r="BE28" s="57"/>
      <c r="BF28" s="57"/>
    </row>
    <row r="29" spans="1:58" x14ac:dyDescent="0.25">
      <c r="A29" s="73"/>
      <c r="B29" s="74"/>
      <c r="C29" s="70"/>
      <c r="D29" s="63"/>
      <c r="H29" s="7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63"/>
      <c r="AH29" s="63"/>
      <c r="AI29" s="63"/>
      <c r="AJ29" s="63"/>
      <c r="AK29" s="63"/>
      <c r="AL29" s="63"/>
    </row>
    <row r="30" spans="1:58" x14ac:dyDescent="0.25">
      <c r="A30" s="60" t="s">
        <v>508</v>
      </c>
      <c r="B30" s="68">
        <f ca="1">SUM(I30:T30)</f>
        <v>12</v>
      </c>
      <c r="C30" s="280">
        <f>SUM(U30:AF30)</f>
        <v>7.1999999999999993</v>
      </c>
      <c r="D30" s="69">
        <f ca="1">SUM(AG30:AR30)</f>
        <v>7041.35</v>
      </c>
      <c r="H30" s="60" t="s">
        <v>508</v>
      </c>
      <c r="I30" s="71">
        <f ca="1">SBR!O11</f>
        <v>1</v>
      </c>
      <c r="J30" s="71">
        <f ca="1">SBR!P11</f>
        <v>1</v>
      </c>
      <c r="K30" s="71">
        <f ca="1">SBR!Q11</f>
        <v>1</v>
      </c>
      <c r="L30" s="71">
        <f ca="1">SBR!R11</f>
        <v>1</v>
      </c>
      <c r="M30" s="71">
        <f ca="1">SBR!S11</f>
        <v>1</v>
      </c>
      <c r="N30" s="71">
        <f ca="1">SBR!T11</f>
        <v>1</v>
      </c>
      <c r="O30" s="71">
        <f ca="1">SBR!U11</f>
        <v>1</v>
      </c>
      <c r="P30" s="71">
        <f ca="1">SBR!V11</f>
        <v>1</v>
      </c>
      <c r="Q30" s="71">
        <f ca="1">SBR!W11</f>
        <v>1</v>
      </c>
      <c r="R30" s="71">
        <f ca="1">SBR!X11</f>
        <v>1</v>
      </c>
      <c r="S30" s="71">
        <f ca="1">SBR!Y11</f>
        <v>1</v>
      </c>
      <c r="T30" s="71">
        <f ca="1">SBR!Z11</f>
        <v>1</v>
      </c>
      <c r="U30" s="582">
        <f>SBR!AA11</f>
        <v>0.60000000000000009</v>
      </c>
      <c r="V30" s="582">
        <f>SBR!AB11</f>
        <v>0.60000000000000009</v>
      </c>
      <c r="W30" s="582">
        <f>SBR!AC11</f>
        <v>0.60000000000000009</v>
      </c>
      <c r="X30" s="582">
        <f>SBR!AD11</f>
        <v>0.60000000000000009</v>
      </c>
      <c r="Y30" s="582">
        <f>SBR!AE11</f>
        <v>0.60000000000000009</v>
      </c>
      <c r="Z30" s="582">
        <f>SBR!AF11</f>
        <v>0.60000000000000009</v>
      </c>
      <c r="AA30" s="582">
        <f>SBR!AG11</f>
        <v>0.60000000000000009</v>
      </c>
      <c r="AB30" s="582">
        <f>SBR!AH11</f>
        <v>0.60000000000000009</v>
      </c>
      <c r="AC30" s="582">
        <f>SBR!AI11</f>
        <v>0.60000000000000009</v>
      </c>
      <c r="AD30" s="582">
        <f>SBR!AJ11</f>
        <v>0.60000000000000009</v>
      </c>
      <c r="AE30" s="582">
        <f>SBR!AK11</f>
        <v>0.60000000000000009</v>
      </c>
      <c r="AF30" s="582">
        <f>SBR!AL11</f>
        <v>0.60000000000000009</v>
      </c>
      <c r="AG30" s="72">
        <f ca="1">SBR!AM11</f>
        <v>586.53</v>
      </c>
      <c r="AH30" s="72">
        <f ca="1">SBR!AN11</f>
        <v>586.29</v>
      </c>
      <c r="AI30" s="72">
        <f ca="1">SBR!AO11</f>
        <v>586.42999999999995</v>
      </c>
      <c r="AJ30" s="72">
        <f ca="1">SBR!AP11</f>
        <v>585.95000000000005</v>
      </c>
      <c r="AK30" s="72">
        <f ca="1">SBR!AQ11</f>
        <v>586.47</v>
      </c>
      <c r="AL30" s="72">
        <f ca="1">SBR!AR11</f>
        <v>586.59</v>
      </c>
      <c r="AM30" s="72">
        <f ca="1">SBR!AS11</f>
        <v>586.82000000000005</v>
      </c>
      <c r="AN30" s="72">
        <f ca="1">SBR!AT11</f>
        <v>587.04</v>
      </c>
      <c r="AO30" s="72">
        <f ca="1">SBR!AU11</f>
        <v>587.39</v>
      </c>
      <c r="AP30" s="72">
        <f ca="1">SBR!AV11</f>
        <v>587.59</v>
      </c>
      <c r="AQ30" s="72">
        <f ca="1">SBR!AW11</f>
        <v>587.41999999999996</v>
      </c>
      <c r="AR30" s="72">
        <f ca="1">SBR!AX11</f>
        <v>586.83000000000004</v>
      </c>
    </row>
    <row r="31" spans="1:58" x14ac:dyDescent="0.25">
      <c r="A31" s="73" t="s">
        <v>603</v>
      </c>
      <c r="B31" s="74">
        <f ca="1">SUM(B30)</f>
        <v>12</v>
      </c>
      <c r="C31" s="70">
        <f t="shared" ref="C31:D31" si="19">SUM(C30)</f>
        <v>7.1999999999999993</v>
      </c>
      <c r="D31" s="74">
        <f t="shared" ca="1" si="19"/>
        <v>7041.35</v>
      </c>
      <c r="I31" s="63">
        <f t="shared" ref="I31:AQ31" ca="1" si="20">SUM(I30)</f>
        <v>1</v>
      </c>
      <c r="J31" s="63">
        <f t="shared" ca="1" si="20"/>
        <v>1</v>
      </c>
      <c r="K31" s="63">
        <f t="shared" ca="1" si="20"/>
        <v>1</v>
      </c>
      <c r="L31" s="63">
        <f t="shared" ca="1" si="20"/>
        <v>1</v>
      </c>
      <c r="M31" s="63">
        <f t="shared" ca="1" si="20"/>
        <v>1</v>
      </c>
      <c r="N31" s="63">
        <f t="shared" ca="1" si="20"/>
        <v>1</v>
      </c>
      <c r="O31" s="63">
        <f t="shared" ca="1" si="20"/>
        <v>1</v>
      </c>
      <c r="P31" s="63">
        <f t="shared" ca="1" si="20"/>
        <v>1</v>
      </c>
      <c r="Q31" s="63">
        <f t="shared" ca="1" si="20"/>
        <v>1</v>
      </c>
      <c r="R31" s="63">
        <f t="shared" ca="1" si="20"/>
        <v>1</v>
      </c>
      <c r="S31" s="63">
        <f t="shared" ca="1" si="20"/>
        <v>1</v>
      </c>
      <c r="T31" s="63">
        <f t="shared" ca="1" si="20"/>
        <v>1</v>
      </c>
      <c r="U31" s="585">
        <f t="shared" si="20"/>
        <v>0.60000000000000009</v>
      </c>
      <c r="V31" s="585">
        <f t="shared" si="20"/>
        <v>0.60000000000000009</v>
      </c>
      <c r="W31" s="585">
        <f t="shared" si="20"/>
        <v>0.60000000000000009</v>
      </c>
      <c r="X31" s="585">
        <f t="shared" si="20"/>
        <v>0.60000000000000009</v>
      </c>
      <c r="Y31" s="585">
        <f t="shared" si="20"/>
        <v>0.60000000000000009</v>
      </c>
      <c r="Z31" s="585">
        <f t="shared" si="20"/>
        <v>0.60000000000000009</v>
      </c>
      <c r="AA31" s="585">
        <f t="shared" si="20"/>
        <v>0.60000000000000009</v>
      </c>
      <c r="AB31" s="585">
        <f t="shared" si="20"/>
        <v>0.60000000000000009</v>
      </c>
      <c r="AC31" s="585">
        <f t="shared" si="20"/>
        <v>0.60000000000000009</v>
      </c>
      <c r="AD31" s="585">
        <f t="shared" si="20"/>
        <v>0.60000000000000009</v>
      </c>
      <c r="AE31" s="585">
        <f t="shared" si="20"/>
        <v>0.60000000000000009</v>
      </c>
      <c r="AF31" s="585">
        <f t="shared" si="20"/>
        <v>0.60000000000000009</v>
      </c>
      <c r="AG31" s="63">
        <f t="shared" ca="1" si="20"/>
        <v>586.53</v>
      </c>
      <c r="AH31" s="63">
        <f t="shared" ca="1" si="20"/>
        <v>586.29</v>
      </c>
      <c r="AI31" s="63">
        <f t="shared" ca="1" si="20"/>
        <v>586.42999999999995</v>
      </c>
      <c r="AJ31" s="63">
        <f t="shared" ca="1" si="20"/>
        <v>585.95000000000005</v>
      </c>
      <c r="AK31" s="63">
        <f t="shared" ca="1" si="20"/>
        <v>586.47</v>
      </c>
      <c r="AL31" s="63">
        <f t="shared" ca="1" si="20"/>
        <v>586.59</v>
      </c>
      <c r="AM31" s="63">
        <f t="shared" ca="1" si="20"/>
        <v>586.82000000000005</v>
      </c>
      <c r="AN31" s="63">
        <f t="shared" ca="1" si="20"/>
        <v>587.04</v>
      </c>
      <c r="AO31" s="63">
        <f t="shared" ca="1" si="20"/>
        <v>587.39</v>
      </c>
      <c r="AP31" s="63">
        <f t="shared" ca="1" si="20"/>
        <v>587.59</v>
      </c>
      <c r="AQ31" s="63">
        <f t="shared" ca="1" si="20"/>
        <v>587.41999999999996</v>
      </c>
      <c r="AR31" s="63">
        <f ca="1">SUM(AR30)</f>
        <v>586.83000000000004</v>
      </c>
    </row>
    <row r="32" spans="1:58" x14ac:dyDescent="0.25">
      <c r="A32" s="73"/>
      <c r="H32" s="73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63"/>
      <c r="AH32" s="63"/>
    </row>
    <row r="33" spans="1:51" x14ac:dyDescent="0.25"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63"/>
      <c r="AH33" s="63"/>
    </row>
    <row r="34" spans="1:51" x14ac:dyDescent="0.25">
      <c r="A34" s="73" t="s">
        <v>439</v>
      </c>
      <c r="B34" s="74">
        <f>SUM(I34:T34)</f>
        <v>828</v>
      </c>
      <c r="C34" s="74">
        <f>SUM(U34:AF34)</f>
        <v>0</v>
      </c>
      <c r="D34" s="300">
        <f>ROUND(SUM(AG34:AR34),0)</f>
        <v>62100</v>
      </c>
      <c r="H34" s="73" t="s">
        <v>319</v>
      </c>
      <c r="I34" s="63">
        <f>SBR!O48</f>
        <v>69</v>
      </c>
      <c r="J34" s="63">
        <f>SBR!P48</f>
        <v>69</v>
      </c>
      <c r="K34" s="63">
        <f>SBR!Q48</f>
        <v>69</v>
      </c>
      <c r="L34" s="63">
        <f>SBR!R48</f>
        <v>69</v>
      </c>
      <c r="M34" s="63">
        <f>SBR!S48</f>
        <v>69</v>
      </c>
      <c r="N34" s="63">
        <f>SBR!T48</f>
        <v>69</v>
      </c>
      <c r="O34" s="63">
        <f>SBR!U48</f>
        <v>69</v>
      </c>
      <c r="P34" s="63">
        <f>SBR!V48</f>
        <v>69</v>
      </c>
      <c r="Q34" s="63">
        <f>SBR!W48</f>
        <v>69</v>
      </c>
      <c r="R34" s="63">
        <f>SBR!X48</f>
        <v>69</v>
      </c>
      <c r="S34" s="63">
        <f>SBR!Y48</f>
        <v>69</v>
      </c>
      <c r="T34" s="63">
        <f>SBR!Z48</f>
        <v>69</v>
      </c>
      <c r="U34" s="585">
        <f>SBR!AA48</f>
        <v>0</v>
      </c>
      <c r="V34" s="585">
        <f>SBR!AB48</f>
        <v>0</v>
      </c>
      <c r="W34" s="585">
        <f>SBR!AC48</f>
        <v>0</v>
      </c>
      <c r="X34" s="585">
        <f>SBR!AD48</f>
        <v>0</v>
      </c>
      <c r="Y34" s="585">
        <f>SBR!AE48</f>
        <v>0</v>
      </c>
      <c r="Z34" s="585">
        <f>SBR!AF48</f>
        <v>0</v>
      </c>
      <c r="AA34" s="585">
        <f>SBR!AG48</f>
        <v>0</v>
      </c>
      <c r="AB34" s="585">
        <f>SBR!AH48</f>
        <v>0</v>
      </c>
      <c r="AC34" s="585">
        <f>SBR!AI48</f>
        <v>0</v>
      </c>
      <c r="AD34" s="585">
        <f>SBR!AJ48</f>
        <v>0</v>
      </c>
      <c r="AE34" s="585">
        <f>SBR!AK48</f>
        <v>0</v>
      </c>
      <c r="AF34" s="585">
        <f>SBR!AL48</f>
        <v>0</v>
      </c>
      <c r="AG34" s="63">
        <f>SBR!AM48</f>
        <v>5175</v>
      </c>
      <c r="AH34" s="63">
        <f>SBR!AN48</f>
        <v>5175</v>
      </c>
      <c r="AI34" s="63">
        <f>SBR!AO48</f>
        <v>5175</v>
      </c>
      <c r="AJ34" s="63">
        <f>SBR!AP48</f>
        <v>5175</v>
      </c>
      <c r="AK34" s="63">
        <f>SBR!AQ48</f>
        <v>5175</v>
      </c>
      <c r="AL34" s="63">
        <f>SBR!AR48</f>
        <v>5175</v>
      </c>
      <c r="AM34" s="63">
        <f>SBR!AS48</f>
        <v>5175</v>
      </c>
      <c r="AN34" s="63">
        <f>SBR!AT48</f>
        <v>5175</v>
      </c>
      <c r="AO34" s="63">
        <f>SBR!AU48</f>
        <v>5175</v>
      </c>
      <c r="AP34" s="63">
        <f>SBR!AV48</f>
        <v>5175</v>
      </c>
      <c r="AQ34" s="63">
        <f>SBR!AW48</f>
        <v>5175</v>
      </c>
      <c r="AR34" s="63">
        <f>SBR!AX48</f>
        <v>5175</v>
      </c>
    </row>
    <row r="35" spans="1:51" x14ac:dyDescent="0.25">
      <c r="A35" s="73" t="s">
        <v>507</v>
      </c>
      <c r="B35" s="74">
        <f>SUM(I35:T35)</f>
        <v>24</v>
      </c>
      <c r="C35" s="74">
        <f t="shared" ref="C35:C36" si="21">SUM(U35:AF35)</f>
        <v>0</v>
      </c>
      <c r="D35" s="300">
        <f>ROUND(SUM(AG35:AR35),0)</f>
        <v>1800</v>
      </c>
      <c r="H35" s="73" t="s">
        <v>440</v>
      </c>
      <c r="I35" s="63">
        <f>SBR!O49</f>
        <v>2</v>
      </c>
      <c r="J35" s="63">
        <f>SBR!P49</f>
        <v>2</v>
      </c>
      <c r="K35" s="63">
        <f>SBR!Q49</f>
        <v>2</v>
      </c>
      <c r="L35" s="63">
        <f>SBR!R49</f>
        <v>2</v>
      </c>
      <c r="M35" s="63">
        <f>SBR!S49</f>
        <v>2</v>
      </c>
      <c r="N35" s="63">
        <f>SBR!T49</f>
        <v>2</v>
      </c>
      <c r="O35" s="63">
        <f>SBR!U49</f>
        <v>2</v>
      </c>
      <c r="P35" s="63">
        <f>SBR!V49</f>
        <v>2</v>
      </c>
      <c r="Q35" s="63">
        <f>SBR!W49</f>
        <v>2</v>
      </c>
      <c r="R35" s="63">
        <f>SBR!X49</f>
        <v>2</v>
      </c>
      <c r="S35" s="63">
        <f>SBR!Y49</f>
        <v>2</v>
      </c>
      <c r="T35" s="63">
        <f>SBR!Z49</f>
        <v>2</v>
      </c>
      <c r="U35" s="585">
        <f>SBR!AA49</f>
        <v>0</v>
      </c>
      <c r="V35" s="585">
        <f>SBR!AB49</f>
        <v>0</v>
      </c>
      <c r="W35" s="585">
        <f>SBR!AC49</f>
        <v>0</v>
      </c>
      <c r="X35" s="585">
        <f>SBR!AD49</f>
        <v>0</v>
      </c>
      <c r="Y35" s="585">
        <f>SBR!AE49</f>
        <v>0</v>
      </c>
      <c r="Z35" s="585">
        <f>SBR!AF49</f>
        <v>0</v>
      </c>
      <c r="AA35" s="585">
        <f>SBR!AG49</f>
        <v>0</v>
      </c>
      <c r="AB35" s="585">
        <f>SBR!AH49</f>
        <v>0</v>
      </c>
      <c r="AC35" s="585">
        <f>SBR!AI49</f>
        <v>0</v>
      </c>
      <c r="AD35" s="585">
        <f>SBR!AJ49</f>
        <v>0</v>
      </c>
      <c r="AE35" s="585">
        <f>SBR!AK49</f>
        <v>0</v>
      </c>
      <c r="AF35" s="585">
        <f>SBR!AL49</f>
        <v>0</v>
      </c>
      <c r="AG35" s="63">
        <f>SBR!AM49</f>
        <v>150</v>
      </c>
      <c r="AH35" s="63">
        <f>SBR!AN49</f>
        <v>150</v>
      </c>
      <c r="AI35" s="63">
        <f>SBR!AO49</f>
        <v>150</v>
      </c>
      <c r="AJ35" s="63">
        <f>SBR!AP49</f>
        <v>150</v>
      </c>
      <c r="AK35" s="63">
        <f>SBR!AQ49</f>
        <v>150</v>
      </c>
      <c r="AL35" s="63">
        <f>SBR!AR49</f>
        <v>150</v>
      </c>
      <c r="AM35" s="63">
        <f>SBR!AS49</f>
        <v>150</v>
      </c>
      <c r="AN35" s="63">
        <f>SBR!AT49</f>
        <v>150</v>
      </c>
      <c r="AO35" s="63">
        <f>SBR!AU49</f>
        <v>150</v>
      </c>
      <c r="AP35" s="63">
        <f>SBR!AV49</f>
        <v>150</v>
      </c>
      <c r="AQ35" s="63">
        <f>SBR!AW49</f>
        <v>150</v>
      </c>
      <c r="AR35" s="63">
        <f>SBR!AX49</f>
        <v>150</v>
      </c>
    </row>
    <row r="36" spans="1:51" x14ac:dyDescent="0.25">
      <c r="A36" s="73" t="s">
        <v>506</v>
      </c>
      <c r="B36" s="68">
        <f>SUM(I36:T36)</f>
        <v>0</v>
      </c>
      <c r="C36" s="68">
        <f t="shared" si="21"/>
        <v>0</v>
      </c>
      <c r="D36" s="69">
        <f>ROUND(SUM(AG36:AR36),0)</f>
        <v>0</v>
      </c>
      <c r="E36" s="301"/>
      <c r="F36" s="301"/>
      <c r="G36" s="301"/>
      <c r="H36" s="302" t="s">
        <v>433</v>
      </c>
      <c r="I36" s="71">
        <f>SBR!O50</f>
        <v>0</v>
      </c>
      <c r="J36" s="71">
        <f>SBR!P50</f>
        <v>0</v>
      </c>
      <c r="K36" s="71">
        <f>SBR!Q50</f>
        <v>0</v>
      </c>
      <c r="L36" s="71">
        <f>SBR!R50</f>
        <v>0</v>
      </c>
      <c r="M36" s="71">
        <f>SBR!S50</f>
        <v>0</v>
      </c>
      <c r="N36" s="71">
        <f>SBR!T50</f>
        <v>0</v>
      </c>
      <c r="O36" s="71">
        <f>SBR!U50</f>
        <v>0</v>
      </c>
      <c r="P36" s="71">
        <f>SBR!V50</f>
        <v>0</v>
      </c>
      <c r="Q36" s="71">
        <f>SBR!W50</f>
        <v>0</v>
      </c>
      <c r="R36" s="71">
        <f>SBR!X50</f>
        <v>0</v>
      </c>
      <c r="S36" s="71">
        <f>SBR!Y50</f>
        <v>0</v>
      </c>
      <c r="T36" s="71">
        <f>SBR!Z50</f>
        <v>0</v>
      </c>
      <c r="U36" s="584">
        <f>SBR!AA50</f>
        <v>0</v>
      </c>
      <c r="V36" s="584">
        <f>SBR!AB50</f>
        <v>0</v>
      </c>
      <c r="W36" s="584">
        <f>SBR!AC50</f>
        <v>0</v>
      </c>
      <c r="X36" s="584">
        <f>SBR!AD50</f>
        <v>0</v>
      </c>
      <c r="Y36" s="584">
        <f>SBR!AE50</f>
        <v>0</v>
      </c>
      <c r="Z36" s="584">
        <f>SBR!AF50</f>
        <v>0</v>
      </c>
      <c r="AA36" s="584">
        <f>SBR!AG50</f>
        <v>0</v>
      </c>
      <c r="AB36" s="584">
        <f>SBR!AH50</f>
        <v>0</v>
      </c>
      <c r="AC36" s="584">
        <f>SBR!AI50</f>
        <v>0</v>
      </c>
      <c r="AD36" s="584">
        <f>SBR!AJ50</f>
        <v>0</v>
      </c>
      <c r="AE36" s="584">
        <f>SBR!AK50</f>
        <v>0</v>
      </c>
      <c r="AF36" s="584">
        <f>SBR!AL50</f>
        <v>0</v>
      </c>
      <c r="AG36" s="71">
        <f>SBR!AM50</f>
        <v>0</v>
      </c>
      <c r="AH36" s="71">
        <f>SBR!AN50</f>
        <v>0</v>
      </c>
      <c r="AI36" s="71">
        <f>SBR!AO50</f>
        <v>0</v>
      </c>
      <c r="AJ36" s="71">
        <f>SBR!AP50</f>
        <v>0</v>
      </c>
      <c r="AK36" s="71">
        <f>SBR!AQ50</f>
        <v>0</v>
      </c>
      <c r="AL36" s="71">
        <f>SBR!AR50</f>
        <v>0</v>
      </c>
      <c r="AM36" s="71">
        <f>SBR!AS50</f>
        <v>0</v>
      </c>
      <c r="AN36" s="71">
        <f>SBR!AT50</f>
        <v>0</v>
      </c>
      <c r="AO36" s="71">
        <f>SBR!AU50</f>
        <v>0</v>
      </c>
      <c r="AP36" s="71">
        <f>SBR!AV50</f>
        <v>0</v>
      </c>
      <c r="AQ36" s="71">
        <f>SBR!AW50</f>
        <v>0</v>
      </c>
      <c r="AR36" s="71">
        <f>SBR!AX50</f>
        <v>0</v>
      </c>
    </row>
    <row r="37" spans="1:51" x14ac:dyDescent="0.25">
      <c r="A37" s="73" t="s">
        <v>441</v>
      </c>
      <c r="B37" s="74">
        <f>SUM(B34:B36)</f>
        <v>852</v>
      </c>
      <c r="C37" s="74">
        <f>SUM(C34:C36)</f>
        <v>0</v>
      </c>
      <c r="D37" s="300">
        <f>SUM(D34:D36)</f>
        <v>63900</v>
      </c>
      <c r="H37" s="73"/>
      <c r="I37" s="63">
        <f>SUM(I34:I36)</f>
        <v>71</v>
      </c>
      <c r="J37" s="63">
        <f t="shared" ref="J37:T37" si="22">SUM(J34:J36)</f>
        <v>71</v>
      </c>
      <c r="K37" s="63">
        <f t="shared" si="22"/>
        <v>71</v>
      </c>
      <c r="L37" s="63">
        <f t="shared" si="22"/>
        <v>71</v>
      </c>
      <c r="M37" s="63">
        <f t="shared" si="22"/>
        <v>71</v>
      </c>
      <c r="N37" s="63">
        <f t="shared" si="22"/>
        <v>71</v>
      </c>
      <c r="O37" s="63">
        <f t="shared" si="22"/>
        <v>71</v>
      </c>
      <c r="P37" s="63">
        <f t="shared" si="22"/>
        <v>71</v>
      </c>
      <c r="Q37" s="63">
        <f t="shared" si="22"/>
        <v>71</v>
      </c>
      <c r="R37" s="63">
        <f t="shared" si="22"/>
        <v>71</v>
      </c>
      <c r="S37" s="63">
        <f t="shared" si="22"/>
        <v>71</v>
      </c>
      <c r="T37" s="63">
        <f t="shared" si="22"/>
        <v>71</v>
      </c>
      <c r="U37" s="585"/>
      <c r="V37" s="585"/>
      <c r="W37" s="585"/>
      <c r="X37" s="585"/>
      <c r="Y37" s="585"/>
      <c r="Z37" s="585"/>
      <c r="AA37" s="585"/>
      <c r="AB37" s="585"/>
      <c r="AC37" s="585"/>
      <c r="AD37" s="585"/>
      <c r="AE37" s="585"/>
      <c r="AF37" s="585"/>
      <c r="AG37" s="63">
        <f>SUM(AG34:AG36)</f>
        <v>5325</v>
      </c>
      <c r="AH37" s="63">
        <f t="shared" ref="AH37:AR37" si="23">SUM(AH34:AH36)</f>
        <v>5325</v>
      </c>
      <c r="AI37" s="63">
        <f t="shared" si="23"/>
        <v>5325</v>
      </c>
      <c r="AJ37" s="63">
        <f t="shared" si="23"/>
        <v>5325</v>
      </c>
      <c r="AK37" s="63">
        <f t="shared" si="23"/>
        <v>5325</v>
      </c>
      <c r="AL37" s="63">
        <f t="shared" si="23"/>
        <v>5325</v>
      </c>
      <c r="AM37" s="63">
        <f t="shared" si="23"/>
        <v>5325</v>
      </c>
      <c r="AN37" s="63">
        <f t="shared" si="23"/>
        <v>5325</v>
      </c>
      <c r="AO37" s="63">
        <f t="shared" si="23"/>
        <v>5325</v>
      </c>
      <c r="AP37" s="63">
        <f t="shared" si="23"/>
        <v>5325</v>
      </c>
      <c r="AQ37" s="63">
        <f t="shared" si="23"/>
        <v>5325</v>
      </c>
      <c r="AR37" s="63">
        <f t="shared" si="23"/>
        <v>5325</v>
      </c>
    </row>
    <row r="38" spans="1:51" x14ac:dyDescent="0.25">
      <c r="U38" s="580"/>
      <c r="V38" s="580"/>
      <c r="W38" s="580"/>
      <c r="X38" s="580"/>
      <c r="Y38" s="580"/>
      <c r="Z38" s="580"/>
      <c r="AA38" s="580"/>
      <c r="AB38" s="580"/>
      <c r="AC38" s="580"/>
      <c r="AD38" s="580"/>
      <c r="AE38" s="580"/>
      <c r="AF38" s="580"/>
      <c r="AM38" s="60"/>
      <c r="AN38" s="60"/>
      <c r="AO38" s="60"/>
      <c r="AP38" s="60"/>
      <c r="AQ38" s="60"/>
      <c r="AR38" s="60"/>
    </row>
    <row r="39" spans="1:51" x14ac:dyDescent="0.25">
      <c r="A39" s="77"/>
      <c r="B39" s="78"/>
      <c r="C39" s="282"/>
      <c r="D39" s="283"/>
      <c r="H39" s="77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585"/>
      <c r="V39" s="585"/>
      <c r="W39" s="585"/>
      <c r="X39" s="585"/>
      <c r="Y39" s="585"/>
      <c r="Z39" s="585"/>
      <c r="AA39" s="585"/>
      <c r="AB39" s="585"/>
      <c r="AC39" s="585"/>
      <c r="AD39" s="585"/>
      <c r="AE39" s="585"/>
      <c r="AF39" s="585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</row>
    <row r="40" spans="1:51" x14ac:dyDescent="0.25">
      <c r="A40" s="77"/>
      <c r="B40" s="78"/>
      <c r="C40" s="282"/>
      <c r="D40" s="283"/>
      <c r="H40" s="77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585"/>
      <c r="V40" s="585"/>
      <c r="W40" s="585"/>
      <c r="X40" s="585"/>
      <c r="Y40" s="585"/>
      <c r="Z40" s="585"/>
      <c r="AA40" s="585"/>
      <c r="AB40" s="585"/>
      <c r="AC40" s="585"/>
      <c r="AD40" s="585"/>
      <c r="AE40" s="585"/>
      <c r="AF40" s="585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Y40" s="74"/>
    </row>
    <row r="41" spans="1:51" x14ac:dyDescent="0.25">
      <c r="U41" s="580"/>
      <c r="V41" s="580"/>
      <c r="W41" s="580"/>
      <c r="X41" s="580"/>
      <c r="Y41" s="580"/>
      <c r="Z41" s="580"/>
      <c r="AA41" s="580"/>
      <c r="AB41" s="580"/>
      <c r="AC41" s="580"/>
      <c r="AD41" s="580"/>
      <c r="AE41" s="580"/>
      <c r="AF41" s="580"/>
      <c r="AM41" s="60"/>
      <c r="AN41" s="60"/>
      <c r="AO41" s="60"/>
      <c r="AP41" s="60"/>
      <c r="AQ41" s="60"/>
      <c r="AR41" s="60"/>
    </row>
    <row r="42" spans="1:51" x14ac:dyDescent="0.25">
      <c r="U42" s="580"/>
      <c r="V42" s="580"/>
      <c r="W42" s="580"/>
      <c r="X42" s="580"/>
      <c r="Y42" s="580"/>
      <c r="Z42" s="580"/>
      <c r="AA42" s="580"/>
      <c r="AB42" s="580"/>
      <c r="AC42" s="580"/>
      <c r="AD42" s="580"/>
      <c r="AE42" s="580"/>
      <c r="AF42" s="580"/>
      <c r="AM42" s="60"/>
      <c r="AN42" s="60"/>
      <c r="AO42" s="60"/>
      <c r="AP42" s="60"/>
      <c r="AQ42" s="60"/>
      <c r="AR42" s="60"/>
    </row>
    <row r="43" spans="1:51" x14ac:dyDescent="0.25">
      <c r="A43" s="73" t="s">
        <v>320</v>
      </c>
      <c r="B43" s="74">
        <f ca="1">SUM(I43:T43)</f>
        <v>3860893</v>
      </c>
      <c r="C43" s="70">
        <f>SUM(U43:AF43)</f>
        <v>44455552.946566723</v>
      </c>
      <c r="D43" s="63">
        <f ca="1">SUM(AG43:AR43)</f>
        <v>327901507.04999989</v>
      </c>
      <c r="E43" s="63"/>
      <c r="H43" s="73" t="s">
        <v>321</v>
      </c>
      <c r="I43" s="63">
        <f ca="1">I6+I10+I14+I19+I23+I37+I28+I31</f>
        <v>320665</v>
      </c>
      <c r="J43" s="63">
        <f t="shared" ref="J43:AR43" ca="1" si="24">J6+J10+J14+J19+J23+J37+J28+J31</f>
        <v>320606</v>
      </c>
      <c r="K43" s="63">
        <f t="shared" ca="1" si="24"/>
        <v>320225</v>
      </c>
      <c r="L43" s="63">
        <f t="shared" ca="1" si="24"/>
        <v>320602</v>
      </c>
      <c r="M43" s="63">
        <f t="shared" ca="1" si="24"/>
        <v>320933</v>
      </c>
      <c r="N43" s="63">
        <f t="shared" ca="1" si="24"/>
        <v>322218</v>
      </c>
      <c r="O43" s="63">
        <f t="shared" ca="1" si="24"/>
        <v>322874</v>
      </c>
      <c r="P43" s="63">
        <f t="shared" ca="1" si="24"/>
        <v>323139</v>
      </c>
      <c r="Q43" s="63">
        <f t="shared" ca="1" si="24"/>
        <v>323395</v>
      </c>
      <c r="R43" s="63">
        <f t="shared" ca="1" si="24"/>
        <v>322654</v>
      </c>
      <c r="S43" s="63">
        <f t="shared" ca="1" si="24"/>
        <v>321913</v>
      </c>
      <c r="T43" s="63">
        <f t="shared" ca="1" si="24"/>
        <v>321669</v>
      </c>
      <c r="U43" s="585">
        <f t="shared" si="24"/>
        <v>1460734.6751009647</v>
      </c>
      <c r="V43" s="585">
        <f t="shared" si="24"/>
        <v>1521345.8675550926</v>
      </c>
      <c r="W43" s="585">
        <f t="shared" si="24"/>
        <v>1608015.1293030742</v>
      </c>
      <c r="X43" s="585">
        <f t="shared" si="24"/>
        <v>2583797.5950340074</v>
      </c>
      <c r="Y43" s="585">
        <f t="shared" si="24"/>
        <v>4386580.1670581419</v>
      </c>
      <c r="Z43" s="585">
        <f t="shared" si="24"/>
        <v>6728815.4365725731</v>
      </c>
      <c r="AA43" s="585">
        <f t="shared" si="24"/>
        <v>8097443.6575118061</v>
      </c>
      <c r="AB43" s="585">
        <f t="shared" si="24"/>
        <v>6938838.982707683</v>
      </c>
      <c r="AC43" s="585">
        <f t="shared" si="24"/>
        <v>5021912.2099013254</v>
      </c>
      <c r="AD43" s="585">
        <f t="shared" si="24"/>
        <v>2710261.8947777832</v>
      </c>
      <c r="AE43" s="585">
        <f t="shared" si="24"/>
        <v>1895546.9563737209</v>
      </c>
      <c r="AF43" s="585">
        <f t="shared" si="24"/>
        <v>1502260.3746705505</v>
      </c>
      <c r="AG43" s="63">
        <f t="shared" ca="1" si="24"/>
        <v>13043866.979999999</v>
      </c>
      <c r="AH43" s="63">
        <f t="shared" ca="1" si="24"/>
        <v>12949261.249999996</v>
      </c>
      <c r="AI43" s="63">
        <f t="shared" ca="1" si="24"/>
        <v>13437337.710000001</v>
      </c>
      <c r="AJ43" s="63">
        <f t="shared" ca="1" si="24"/>
        <v>16205627.030000003</v>
      </c>
      <c r="AK43" s="63">
        <f t="shared" ca="1" si="24"/>
        <v>27254136.59</v>
      </c>
      <c r="AL43" s="63">
        <f t="shared" ca="1" si="24"/>
        <v>43038904.550000004</v>
      </c>
      <c r="AM43" s="63">
        <f t="shared" ca="1" si="24"/>
        <v>54828585.439999998</v>
      </c>
      <c r="AN43" s="63">
        <f t="shared" ca="1" si="24"/>
        <v>50117325.959999993</v>
      </c>
      <c r="AO43" s="63">
        <f t="shared" ca="1" si="24"/>
        <v>40254897.919999987</v>
      </c>
      <c r="AP43" s="63">
        <f t="shared" ca="1" si="24"/>
        <v>24388367.520000003</v>
      </c>
      <c r="AQ43" s="63">
        <f t="shared" ca="1" si="24"/>
        <v>18067086.32</v>
      </c>
      <c r="AR43" s="63">
        <f t="shared" ca="1" si="24"/>
        <v>14316109.779999997</v>
      </c>
    </row>
    <row r="44" spans="1:51" x14ac:dyDescent="0.25">
      <c r="B44" s="74">
        <f ca="1">B6+B10+B14+B19+B23+B37+B28+B31</f>
        <v>3860893</v>
      </c>
      <c r="C44" s="70">
        <f>C6+C10+C14+C19+C23+C37+C28+C31</f>
        <v>44455552.946566723</v>
      </c>
      <c r="D44" s="74">
        <f ca="1">D6+D10+D14+D19+D23+D37+D28+D31</f>
        <v>327901507.05000001</v>
      </c>
      <c r="E44" s="74"/>
      <c r="U44" s="580"/>
      <c r="V44" s="580"/>
      <c r="W44" s="580"/>
      <c r="X44" s="580"/>
      <c r="Y44" s="580"/>
      <c r="Z44" s="580"/>
      <c r="AA44" s="581"/>
      <c r="AB44" s="581"/>
      <c r="AC44" s="581"/>
      <c r="AD44" s="581"/>
      <c r="AE44" s="581"/>
      <c r="AF44" s="581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</row>
    <row r="45" spans="1:51" x14ac:dyDescent="0.25">
      <c r="B45" s="63">
        <f ca="1">SUM(B5:B5)+SUM(B8:B9)+SUM(B12:B13)+SUM(B16:B18)+SUM(B21:B22)+SUM(B34:B36)+SUM(B26:B27)+SUM(B30)</f>
        <v>3860893</v>
      </c>
      <c r="C45" s="62">
        <f>SUM(C5:C5)+SUM(C8:C9)+SUM(C12:C13)+SUM(C16:C18)+SUM(C21:C22)+C34+C28+C36+C31</f>
        <v>44455552.946566723</v>
      </c>
      <c r="D45" s="63">
        <f ca="1">SUM(D5:D5)+SUM(D8:D9)+SUM(D12:D13)+SUM(D16:D18)+SUM(D21:D22)+SUM(D34:D36)+SUM(D26:D27)+D31</f>
        <v>327901507.05000001</v>
      </c>
      <c r="E45" s="63"/>
      <c r="U45" s="580"/>
      <c r="V45" s="580"/>
      <c r="W45" s="580"/>
      <c r="X45" s="580"/>
      <c r="Y45" s="580"/>
      <c r="Z45" s="580"/>
      <c r="AA45" s="581"/>
      <c r="AB45" s="581"/>
      <c r="AC45" s="581"/>
      <c r="AD45" s="581"/>
      <c r="AE45" s="581"/>
      <c r="AF45" s="581"/>
      <c r="AL45"/>
      <c r="AY45" s="74"/>
    </row>
    <row r="46" spans="1:51" x14ac:dyDescent="0.25">
      <c r="B46" s="74"/>
      <c r="D46" s="74"/>
      <c r="U46" s="580"/>
      <c r="V46" s="580"/>
      <c r="W46" s="580"/>
      <c r="X46" s="580"/>
      <c r="Y46" s="580"/>
      <c r="Z46" s="580"/>
      <c r="AA46" s="581"/>
      <c r="AB46" s="581"/>
      <c r="AC46" s="581"/>
      <c r="AD46" s="581"/>
      <c r="AE46" s="581"/>
      <c r="AF46" s="581"/>
    </row>
    <row r="47" spans="1:51" x14ac:dyDescent="0.25">
      <c r="A47" s="288" t="s">
        <v>562</v>
      </c>
      <c r="B47" s="63">
        <f ca="1">SBR!C59</f>
        <v>3860893</v>
      </c>
      <c r="C47" s="62">
        <f>SBR!D59</f>
        <v>44455552.946566723</v>
      </c>
      <c r="D47" s="63">
        <f ca="1">SBR!E59</f>
        <v>327901507.05000001</v>
      </c>
      <c r="U47" s="580"/>
      <c r="V47" s="580"/>
      <c r="W47" s="580"/>
      <c r="X47" s="580"/>
      <c r="Y47" s="580"/>
      <c r="Z47" s="580"/>
      <c r="AA47" s="581"/>
      <c r="AB47" s="581"/>
      <c r="AC47" s="581"/>
      <c r="AD47" s="581"/>
      <c r="AE47" s="581"/>
      <c r="AF47" s="581"/>
    </row>
    <row r="48" spans="1:51" x14ac:dyDescent="0.25">
      <c r="A48" s="307"/>
      <c r="B48" s="74"/>
      <c r="C48" s="62"/>
      <c r="D48" s="74"/>
      <c r="U48" s="580"/>
      <c r="V48" s="580"/>
      <c r="W48" s="580"/>
      <c r="X48" s="580"/>
      <c r="Y48" s="580"/>
      <c r="Z48" s="580"/>
      <c r="AA48" s="581"/>
      <c r="AB48" s="581"/>
      <c r="AC48" s="581"/>
      <c r="AD48" s="581"/>
      <c r="AE48" s="581"/>
      <c r="AF48" s="581"/>
    </row>
    <row r="49" spans="1:51" x14ac:dyDescent="0.25">
      <c r="A49" s="308" t="s">
        <v>435</v>
      </c>
      <c r="B49" s="296">
        <f ca="1">B43-B47</f>
        <v>0</v>
      </c>
      <c r="C49" s="296">
        <f>C43-C47</f>
        <v>0</v>
      </c>
      <c r="D49" s="296">
        <f ca="1">D43-D47</f>
        <v>0</v>
      </c>
      <c r="U49" s="580"/>
      <c r="V49" s="580"/>
      <c r="W49" s="580"/>
      <c r="X49" s="580"/>
      <c r="Y49" s="580"/>
      <c r="Z49" s="580"/>
      <c r="AA49" s="581"/>
      <c r="AB49" s="581"/>
      <c r="AC49" s="581"/>
      <c r="AD49" s="581"/>
      <c r="AE49" s="581"/>
      <c r="AF49" s="581"/>
    </row>
    <row r="50" spans="1:51" x14ac:dyDescent="0.25">
      <c r="A50" s="288"/>
      <c r="C50" s="62"/>
      <c r="D50" s="296"/>
      <c r="U50" s="580"/>
      <c r="V50" s="580"/>
      <c r="W50" s="580"/>
      <c r="X50" s="580"/>
      <c r="Y50" s="580"/>
      <c r="Z50" s="580"/>
      <c r="AA50" s="581"/>
      <c r="AB50" s="581"/>
      <c r="AC50" s="581"/>
      <c r="AD50" s="581"/>
      <c r="AE50" s="581"/>
      <c r="AF50" s="581"/>
    </row>
    <row r="51" spans="1:51" x14ac:dyDescent="0.25">
      <c r="A51" s="612" t="s">
        <v>693</v>
      </c>
      <c r="B51" s="63">
        <f ca="1">B43-B37</f>
        <v>3860041</v>
      </c>
      <c r="C51" s="63">
        <f t="shared" ref="C51:D51" si="25">C43-C37</f>
        <v>44455552.946566723</v>
      </c>
      <c r="D51" s="63">
        <f t="shared" ca="1" si="25"/>
        <v>327837607.04999989</v>
      </c>
      <c r="E51" s="63"/>
      <c r="U51" s="580"/>
      <c r="V51" s="580"/>
      <c r="W51" s="580"/>
      <c r="X51" s="580"/>
      <c r="Y51" s="580"/>
      <c r="Z51" s="580"/>
      <c r="AA51" s="581"/>
      <c r="AB51" s="581"/>
      <c r="AC51" s="581"/>
      <c r="AD51" s="581"/>
      <c r="AE51" s="581"/>
      <c r="AF51" s="581"/>
      <c r="AL51"/>
      <c r="AY51" s="74"/>
    </row>
    <row r="52" spans="1:51" x14ac:dyDescent="0.25">
      <c r="A52" s="307"/>
      <c r="C52" s="62"/>
    </row>
    <row r="53" spans="1:51" x14ac:dyDescent="0.25">
      <c r="A53" s="307"/>
      <c r="B53"/>
      <c r="C53" s="62"/>
    </row>
    <row r="54" spans="1:51" x14ac:dyDescent="0.25">
      <c r="C54" s="81"/>
    </row>
  </sheetData>
  <mergeCells count="1">
    <mergeCell ref="B2:D2"/>
  </mergeCells>
  <pageMargins left="0.25" right="0.25" top="1.04" bottom="0.5" header="0.56999999999999995" footer="0.2"/>
  <pageSetup scale="16" pageOrder="overThenDown" orientation="portrait" r:id="rId1"/>
  <headerFooter alignWithMargins="0">
    <oddHeader>&amp;L&amp;12LOUISVILLE GAS AND ELECTRIC COMPANY
SUMMARY OF GAS SALES AND TRANSPORTATION BILLING DETERMINANTS AND REVENUES
12 MONTHS ENDED SEPTEMBER 30, 2003</oddHeader>
    <oddFooter>&amp;C&amp;12Gas Sales and Transportation Billing Determinants and Revenues
12 Mos. Ended September 30, 2003&amp;R&amp;12
Page &amp;P of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5" tint="0.39997558519241921"/>
    <pageSetUpPr fitToPage="1"/>
  </sheetPr>
  <dimension ref="A1:BL70"/>
  <sheetViews>
    <sheetView topLeftCell="A22" workbookViewId="0">
      <selection activeCell="A35" sqref="A35"/>
    </sheetView>
  </sheetViews>
  <sheetFormatPr defaultColWidth="14.28515625" defaultRowHeight="15" x14ac:dyDescent="0.25"/>
  <cols>
    <col min="1" max="1" width="16.28515625" style="92" customWidth="1"/>
    <col min="2" max="2" width="48.140625" style="92" customWidth="1"/>
    <col min="3" max="3" width="15.85546875" style="93" customWidth="1"/>
    <col min="4" max="4" width="14.85546875" style="94" customWidth="1"/>
    <col min="5" max="5" width="17.85546875" style="93" customWidth="1"/>
    <col min="6" max="6" width="2.7109375" style="93" customWidth="1"/>
    <col min="7" max="7" width="15.7109375" style="93" customWidth="1"/>
    <col min="8" max="8" width="13.7109375" style="94" customWidth="1"/>
    <col min="9" max="9" width="13.42578125" style="93" customWidth="1"/>
    <col min="10" max="10" width="2.7109375" style="93" customWidth="1"/>
    <col min="11" max="11" width="15.7109375" style="93" customWidth="1"/>
    <col min="12" max="12" width="13.7109375" style="94" customWidth="1"/>
    <col min="13" max="13" width="13.42578125" style="93" customWidth="1"/>
    <col min="14" max="14" width="4.140625" customWidth="1"/>
    <col min="15" max="20" width="10.5703125" style="95" customWidth="1"/>
    <col min="21" max="26" width="13.42578125" style="93" customWidth="1"/>
    <col min="27" max="27" width="9.85546875" style="96" customWidth="1"/>
    <col min="28" max="28" width="13.42578125" style="96" customWidth="1"/>
    <col min="29" max="29" width="13" style="96" customWidth="1"/>
    <col min="30" max="32" width="11.5703125" style="96" customWidth="1"/>
    <col min="33" max="38" width="10.5703125" style="95" customWidth="1"/>
    <col min="39" max="39" width="12.140625" style="95" customWidth="1"/>
    <col min="40" max="40" width="13" style="93" customWidth="1"/>
    <col min="41" max="41" width="11.28515625" style="93" customWidth="1"/>
    <col min="42" max="42" width="13" style="93" customWidth="1"/>
    <col min="43" max="43" width="15.140625" style="93" customWidth="1"/>
    <col min="44" max="44" width="15.42578125" style="93" customWidth="1"/>
    <col min="45" max="45" width="14.7109375" style="96" customWidth="1"/>
    <col min="46" max="47" width="13.85546875" style="96" customWidth="1"/>
    <col min="48" max="48" width="13.42578125" style="96" customWidth="1"/>
    <col min="49" max="50" width="13.85546875" style="96" customWidth="1"/>
    <col min="51" max="51" width="14.85546875" style="92" bestFit="1" customWidth="1"/>
    <col min="52" max="52" width="15.7109375" style="92" customWidth="1"/>
    <col min="53" max="58" width="11.85546875" customWidth="1"/>
    <col min="59" max="59" width="12.85546875" customWidth="1"/>
    <col min="60" max="60" width="8.85546875" customWidth="1"/>
    <col min="61" max="69" width="8.85546875" style="92" customWidth="1"/>
    <col min="70" max="70" width="30.28515625" style="92" bestFit="1" customWidth="1"/>
    <col min="71" max="71" width="20.7109375" style="92" customWidth="1"/>
    <col min="72" max="72" width="13.42578125" style="92" customWidth="1"/>
    <col min="73" max="73" width="8.85546875" style="92" customWidth="1"/>
    <col min="74" max="74" width="11.7109375" style="92" bestFit="1" customWidth="1"/>
    <col min="75" max="242" width="8.85546875" style="92" customWidth="1"/>
    <col min="243" max="243" width="29.7109375" style="92" customWidth="1"/>
    <col min="244" max="246" width="14.28515625" style="92" customWidth="1"/>
    <col min="247" max="247" width="2.7109375" style="92" customWidth="1"/>
    <col min="248" max="251" width="14.28515625" style="92"/>
    <col min="252" max="252" width="9.28515625" style="92" bestFit="1" customWidth="1"/>
    <col min="253" max="253" width="48.140625" style="92" customWidth="1"/>
    <col min="254" max="254" width="15.85546875" style="92" bestFit="1" customWidth="1"/>
    <col min="255" max="255" width="14.85546875" style="92" bestFit="1" customWidth="1"/>
    <col min="256" max="256" width="14.7109375" style="92" bestFit="1" customWidth="1"/>
    <col min="257" max="257" width="2.7109375" style="92" customWidth="1"/>
    <col min="258" max="258" width="15.85546875" style="92" bestFit="1" customWidth="1"/>
    <col min="259" max="260" width="14.5703125" style="92" bestFit="1" customWidth="1"/>
    <col min="261" max="261" width="2.7109375" style="92" customWidth="1"/>
    <col min="262" max="262" width="15.7109375" style="92" bestFit="1" customWidth="1"/>
    <col min="263" max="263" width="13.7109375" style="92" bestFit="1" customWidth="1"/>
    <col min="264" max="264" width="13.42578125" style="92" bestFit="1" customWidth="1"/>
    <col min="265" max="275" width="10.5703125" style="92" bestFit="1" customWidth="1"/>
    <col min="276" max="276" width="13.5703125" style="92" customWidth="1"/>
    <col min="277" max="277" width="16.5703125" style="92" customWidth="1"/>
    <col min="278" max="278" width="14.42578125" style="92" customWidth="1"/>
    <col min="279" max="279" width="13.28515625" style="92" bestFit="1" customWidth="1"/>
    <col min="280" max="280" width="13.42578125" style="92" bestFit="1" customWidth="1"/>
    <col min="281" max="281" width="13" style="92" customWidth="1"/>
    <col min="282" max="282" width="11.5703125" style="92" customWidth="1"/>
    <col min="283" max="283" width="13.140625" style="92" customWidth="1"/>
    <col min="284" max="285" width="11.5703125" style="92" customWidth="1"/>
    <col min="286" max="286" width="12.42578125" style="92" customWidth="1"/>
    <col min="287" max="287" width="13.5703125" style="92" customWidth="1"/>
    <col min="288" max="288" width="13.140625" style="92" bestFit="1" customWidth="1"/>
    <col min="289" max="289" width="18.85546875" style="92" customWidth="1"/>
    <col min="290" max="291" width="14.140625" style="92" customWidth="1"/>
    <col min="292" max="292" width="13.85546875" style="92" customWidth="1"/>
    <col min="293" max="293" width="14.140625" style="92" customWidth="1"/>
    <col min="294" max="294" width="13.7109375" style="92" customWidth="1"/>
    <col min="295" max="295" width="17.140625" style="92" customWidth="1"/>
    <col min="296" max="296" width="15.42578125" style="92" customWidth="1"/>
    <col min="297" max="297" width="18" style="92" customWidth="1"/>
    <col min="298" max="298" width="13.7109375" style="92" bestFit="1" customWidth="1"/>
    <col min="299" max="299" width="14.140625" style="92" bestFit="1" customWidth="1"/>
    <col min="300" max="300" width="14" style="92" bestFit="1" customWidth="1"/>
    <col min="301" max="301" width="14.85546875" style="92" bestFit="1" customWidth="1"/>
    <col min="302" max="302" width="15.7109375" style="92" customWidth="1"/>
    <col min="303" max="303" width="5.85546875" style="92" customWidth="1"/>
    <col min="304" max="304" width="9.28515625" style="92" customWidth="1"/>
    <col min="305" max="305" width="14.85546875" style="92" customWidth="1"/>
    <col min="306" max="306" width="12.85546875" style="92" bestFit="1" customWidth="1"/>
    <col min="307" max="307" width="12.85546875" style="92" customWidth="1"/>
    <col min="308" max="325" width="8.85546875" style="92" customWidth="1"/>
    <col min="326" max="326" width="30.28515625" style="92" bestFit="1" customWidth="1"/>
    <col min="327" max="327" width="20.7109375" style="92" customWidth="1"/>
    <col min="328" max="328" width="13.42578125" style="92" customWidth="1"/>
    <col min="329" max="329" width="8.85546875" style="92" customWidth="1"/>
    <col min="330" max="330" width="11.7109375" style="92" bestFit="1" customWidth="1"/>
    <col min="331" max="498" width="8.85546875" style="92" customWidth="1"/>
    <col min="499" max="499" width="29.7109375" style="92" customWidth="1"/>
    <col min="500" max="502" width="14.28515625" style="92" customWidth="1"/>
    <col min="503" max="503" width="2.7109375" style="92" customWidth="1"/>
    <col min="504" max="507" width="14.28515625" style="92"/>
    <col min="508" max="508" width="9.28515625" style="92" bestFit="1" customWidth="1"/>
    <col min="509" max="509" width="48.140625" style="92" customWidth="1"/>
    <col min="510" max="510" width="15.85546875" style="92" bestFit="1" customWidth="1"/>
    <col min="511" max="511" width="14.85546875" style="92" bestFit="1" customWidth="1"/>
    <col min="512" max="512" width="14.7109375" style="92" bestFit="1" customWidth="1"/>
    <col min="513" max="513" width="2.7109375" style="92" customWidth="1"/>
    <col min="514" max="514" width="15.85546875" style="92" bestFit="1" customWidth="1"/>
    <col min="515" max="516" width="14.5703125" style="92" bestFit="1" customWidth="1"/>
    <col min="517" max="517" width="2.7109375" style="92" customWidth="1"/>
    <col min="518" max="518" width="15.7109375" style="92" bestFit="1" customWidth="1"/>
    <col min="519" max="519" width="13.7109375" style="92" bestFit="1" customWidth="1"/>
    <col min="520" max="520" width="13.42578125" style="92" bestFit="1" customWidth="1"/>
    <col min="521" max="531" width="10.5703125" style="92" bestFit="1" customWidth="1"/>
    <col min="532" max="532" width="13.5703125" style="92" customWidth="1"/>
    <col min="533" max="533" width="16.5703125" style="92" customWidth="1"/>
    <col min="534" max="534" width="14.42578125" style="92" customWidth="1"/>
    <col min="535" max="535" width="13.28515625" style="92" bestFit="1" customWidth="1"/>
    <col min="536" max="536" width="13.42578125" style="92" bestFit="1" customWidth="1"/>
    <col min="537" max="537" width="13" style="92" customWidth="1"/>
    <col min="538" max="538" width="11.5703125" style="92" customWidth="1"/>
    <col min="539" max="539" width="13.140625" style="92" customWidth="1"/>
    <col min="540" max="541" width="11.5703125" style="92" customWidth="1"/>
    <col min="542" max="542" width="12.42578125" style="92" customWidth="1"/>
    <col min="543" max="543" width="13.5703125" style="92" customWidth="1"/>
    <col min="544" max="544" width="13.140625" style="92" bestFit="1" customWidth="1"/>
    <col min="545" max="545" width="18.85546875" style="92" customWidth="1"/>
    <col min="546" max="547" width="14.140625" style="92" customWidth="1"/>
    <col min="548" max="548" width="13.85546875" style="92" customWidth="1"/>
    <col min="549" max="549" width="14.140625" style="92" customWidth="1"/>
    <col min="550" max="550" width="13.7109375" style="92" customWidth="1"/>
    <col min="551" max="551" width="17.140625" style="92" customWidth="1"/>
    <col min="552" max="552" width="15.42578125" style="92" customWidth="1"/>
    <col min="553" max="553" width="18" style="92" customWidth="1"/>
    <col min="554" max="554" width="13.7109375" style="92" bestFit="1" customWidth="1"/>
    <col min="555" max="555" width="14.140625" style="92" bestFit="1" customWidth="1"/>
    <col min="556" max="556" width="14" style="92" bestFit="1" customWidth="1"/>
    <col min="557" max="557" width="14.85546875" style="92" bestFit="1" customWidth="1"/>
    <col min="558" max="558" width="15.7109375" style="92" customWidth="1"/>
    <col min="559" max="559" width="5.85546875" style="92" customWidth="1"/>
    <col min="560" max="560" width="9.28515625" style="92" customWidth="1"/>
    <col min="561" max="561" width="14.85546875" style="92" customWidth="1"/>
    <col min="562" max="562" width="12.85546875" style="92" bestFit="1" customWidth="1"/>
    <col min="563" max="563" width="12.85546875" style="92" customWidth="1"/>
    <col min="564" max="581" width="8.85546875" style="92" customWidth="1"/>
    <col min="582" max="582" width="30.28515625" style="92" bestFit="1" customWidth="1"/>
    <col min="583" max="583" width="20.7109375" style="92" customWidth="1"/>
    <col min="584" max="584" width="13.42578125" style="92" customWidth="1"/>
    <col min="585" max="585" width="8.85546875" style="92" customWidth="1"/>
    <col min="586" max="586" width="11.7109375" style="92" bestFit="1" customWidth="1"/>
    <col min="587" max="754" width="8.85546875" style="92" customWidth="1"/>
    <col min="755" max="755" width="29.7109375" style="92" customWidth="1"/>
    <col min="756" max="758" width="14.28515625" style="92" customWidth="1"/>
    <col min="759" max="759" width="2.7109375" style="92" customWidth="1"/>
    <col min="760" max="763" width="14.28515625" style="92"/>
    <col min="764" max="764" width="9.28515625" style="92" bestFit="1" customWidth="1"/>
    <col min="765" max="765" width="48.140625" style="92" customWidth="1"/>
    <col min="766" max="766" width="15.85546875" style="92" bestFit="1" customWidth="1"/>
    <col min="767" max="767" width="14.85546875" style="92" bestFit="1" customWidth="1"/>
    <col min="768" max="768" width="14.7109375" style="92" bestFit="1" customWidth="1"/>
    <col min="769" max="769" width="2.7109375" style="92" customWidth="1"/>
    <col min="770" max="770" width="15.85546875" style="92" bestFit="1" customWidth="1"/>
    <col min="771" max="772" width="14.5703125" style="92" bestFit="1" customWidth="1"/>
    <col min="773" max="773" width="2.7109375" style="92" customWidth="1"/>
    <col min="774" max="774" width="15.7109375" style="92" bestFit="1" customWidth="1"/>
    <col min="775" max="775" width="13.7109375" style="92" bestFit="1" customWidth="1"/>
    <col min="776" max="776" width="13.42578125" style="92" bestFit="1" customWidth="1"/>
    <col min="777" max="787" width="10.5703125" style="92" bestFit="1" customWidth="1"/>
    <col min="788" max="788" width="13.5703125" style="92" customWidth="1"/>
    <col min="789" max="789" width="16.5703125" style="92" customWidth="1"/>
    <col min="790" max="790" width="14.42578125" style="92" customWidth="1"/>
    <col min="791" max="791" width="13.28515625" style="92" bestFit="1" customWidth="1"/>
    <col min="792" max="792" width="13.42578125" style="92" bestFit="1" customWidth="1"/>
    <col min="793" max="793" width="13" style="92" customWidth="1"/>
    <col min="794" max="794" width="11.5703125" style="92" customWidth="1"/>
    <col min="795" max="795" width="13.140625" style="92" customWidth="1"/>
    <col min="796" max="797" width="11.5703125" style="92" customWidth="1"/>
    <col min="798" max="798" width="12.42578125" style="92" customWidth="1"/>
    <col min="799" max="799" width="13.5703125" style="92" customWidth="1"/>
    <col min="800" max="800" width="13.140625" style="92" bestFit="1" customWidth="1"/>
    <col min="801" max="801" width="18.85546875" style="92" customWidth="1"/>
    <col min="802" max="803" width="14.140625" style="92" customWidth="1"/>
    <col min="804" max="804" width="13.85546875" style="92" customWidth="1"/>
    <col min="805" max="805" width="14.140625" style="92" customWidth="1"/>
    <col min="806" max="806" width="13.7109375" style="92" customWidth="1"/>
    <col min="807" max="807" width="17.140625" style="92" customWidth="1"/>
    <col min="808" max="808" width="15.42578125" style="92" customWidth="1"/>
    <col min="809" max="809" width="18" style="92" customWidth="1"/>
    <col min="810" max="810" width="13.7109375" style="92" bestFit="1" customWidth="1"/>
    <col min="811" max="811" width="14.140625" style="92" bestFit="1" customWidth="1"/>
    <col min="812" max="812" width="14" style="92" bestFit="1" customWidth="1"/>
    <col min="813" max="813" width="14.85546875" style="92" bestFit="1" customWidth="1"/>
    <col min="814" max="814" width="15.7109375" style="92" customWidth="1"/>
    <col min="815" max="815" width="5.85546875" style="92" customWidth="1"/>
    <col min="816" max="816" width="9.28515625" style="92" customWidth="1"/>
    <col min="817" max="817" width="14.85546875" style="92" customWidth="1"/>
    <col min="818" max="818" width="12.85546875" style="92" bestFit="1" customWidth="1"/>
    <col min="819" max="819" width="12.85546875" style="92" customWidth="1"/>
    <col min="820" max="837" width="8.85546875" style="92" customWidth="1"/>
    <col min="838" max="838" width="30.28515625" style="92" bestFit="1" customWidth="1"/>
    <col min="839" max="839" width="20.7109375" style="92" customWidth="1"/>
    <col min="840" max="840" width="13.42578125" style="92" customWidth="1"/>
    <col min="841" max="841" width="8.85546875" style="92" customWidth="1"/>
    <col min="842" max="842" width="11.7109375" style="92" bestFit="1" customWidth="1"/>
    <col min="843" max="1010" width="8.85546875" style="92" customWidth="1"/>
    <col min="1011" max="1011" width="29.7109375" style="92" customWidth="1"/>
    <col min="1012" max="1014" width="14.28515625" style="92" customWidth="1"/>
    <col min="1015" max="1015" width="2.7109375" style="92" customWidth="1"/>
    <col min="1016" max="1019" width="14.28515625" style="92"/>
    <col min="1020" max="1020" width="9.28515625" style="92" bestFit="1" customWidth="1"/>
    <col min="1021" max="1021" width="48.140625" style="92" customWidth="1"/>
    <col min="1022" max="1022" width="15.85546875" style="92" bestFit="1" customWidth="1"/>
    <col min="1023" max="1023" width="14.85546875" style="92" bestFit="1" customWidth="1"/>
    <col min="1024" max="1024" width="14.7109375" style="92" bestFit="1" customWidth="1"/>
    <col min="1025" max="1025" width="2.7109375" style="92" customWidth="1"/>
    <col min="1026" max="1026" width="15.85546875" style="92" bestFit="1" customWidth="1"/>
    <col min="1027" max="1028" width="14.5703125" style="92" bestFit="1" customWidth="1"/>
    <col min="1029" max="1029" width="2.7109375" style="92" customWidth="1"/>
    <col min="1030" max="1030" width="15.7109375" style="92" bestFit="1" customWidth="1"/>
    <col min="1031" max="1031" width="13.7109375" style="92" bestFit="1" customWidth="1"/>
    <col min="1032" max="1032" width="13.42578125" style="92" bestFit="1" customWidth="1"/>
    <col min="1033" max="1043" width="10.5703125" style="92" bestFit="1" customWidth="1"/>
    <col min="1044" max="1044" width="13.5703125" style="92" customWidth="1"/>
    <col min="1045" max="1045" width="16.5703125" style="92" customWidth="1"/>
    <col min="1046" max="1046" width="14.42578125" style="92" customWidth="1"/>
    <col min="1047" max="1047" width="13.28515625" style="92" bestFit="1" customWidth="1"/>
    <col min="1048" max="1048" width="13.42578125" style="92" bestFit="1" customWidth="1"/>
    <col min="1049" max="1049" width="13" style="92" customWidth="1"/>
    <col min="1050" max="1050" width="11.5703125" style="92" customWidth="1"/>
    <col min="1051" max="1051" width="13.140625" style="92" customWidth="1"/>
    <col min="1052" max="1053" width="11.5703125" style="92" customWidth="1"/>
    <col min="1054" max="1054" width="12.42578125" style="92" customWidth="1"/>
    <col min="1055" max="1055" width="13.5703125" style="92" customWidth="1"/>
    <col min="1056" max="1056" width="13.140625" style="92" bestFit="1" customWidth="1"/>
    <col min="1057" max="1057" width="18.85546875" style="92" customWidth="1"/>
    <col min="1058" max="1059" width="14.140625" style="92" customWidth="1"/>
    <col min="1060" max="1060" width="13.85546875" style="92" customWidth="1"/>
    <col min="1061" max="1061" width="14.140625" style="92" customWidth="1"/>
    <col min="1062" max="1062" width="13.7109375" style="92" customWidth="1"/>
    <col min="1063" max="1063" width="17.140625" style="92" customWidth="1"/>
    <col min="1064" max="1064" width="15.42578125" style="92" customWidth="1"/>
    <col min="1065" max="1065" width="18" style="92" customWidth="1"/>
    <col min="1066" max="1066" width="13.7109375" style="92" bestFit="1" customWidth="1"/>
    <col min="1067" max="1067" width="14.140625" style="92" bestFit="1" customWidth="1"/>
    <col min="1068" max="1068" width="14" style="92" bestFit="1" customWidth="1"/>
    <col min="1069" max="1069" width="14.85546875" style="92" bestFit="1" customWidth="1"/>
    <col min="1070" max="1070" width="15.7109375" style="92" customWidth="1"/>
    <col min="1071" max="1071" width="5.85546875" style="92" customWidth="1"/>
    <col min="1072" max="1072" width="9.28515625" style="92" customWidth="1"/>
    <col min="1073" max="1073" width="14.85546875" style="92" customWidth="1"/>
    <col min="1074" max="1074" width="12.85546875" style="92" bestFit="1" customWidth="1"/>
    <col min="1075" max="1075" width="12.85546875" style="92" customWidth="1"/>
    <col min="1076" max="1093" width="8.85546875" style="92" customWidth="1"/>
    <col min="1094" max="1094" width="30.28515625" style="92" bestFit="1" customWidth="1"/>
    <col min="1095" max="1095" width="20.7109375" style="92" customWidth="1"/>
    <col min="1096" max="1096" width="13.42578125" style="92" customWidth="1"/>
    <col min="1097" max="1097" width="8.85546875" style="92" customWidth="1"/>
    <col min="1098" max="1098" width="11.7109375" style="92" bestFit="1" customWidth="1"/>
    <col min="1099" max="1266" width="8.85546875" style="92" customWidth="1"/>
    <col min="1267" max="1267" width="29.7109375" style="92" customWidth="1"/>
    <col min="1268" max="1270" width="14.28515625" style="92" customWidth="1"/>
    <col min="1271" max="1271" width="2.7109375" style="92" customWidth="1"/>
    <col min="1272" max="1275" width="14.28515625" style="92"/>
    <col min="1276" max="1276" width="9.28515625" style="92" bestFit="1" customWidth="1"/>
    <col min="1277" max="1277" width="48.140625" style="92" customWidth="1"/>
    <col min="1278" max="1278" width="15.85546875" style="92" bestFit="1" customWidth="1"/>
    <col min="1279" max="1279" width="14.85546875" style="92" bestFit="1" customWidth="1"/>
    <col min="1280" max="1280" width="14.7109375" style="92" bestFit="1" customWidth="1"/>
    <col min="1281" max="1281" width="2.7109375" style="92" customWidth="1"/>
    <col min="1282" max="1282" width="15.85546875" style="92" bestFit="1" customWidth="1"/>
    <col min="1283" max="1284" width="14.5703125" style="92" bestFit="1" customWidth="1"/>
    <col min="1285" max="1285" width="2.7109375" style="92" customWidth="1"/>
    <col min="1286" max="1286" width="15.7109375" style="92" bestFit="1" customWidth="1"/>
    <col min="1287" max="1287" width="13.7109375" style="92" bestFit="1" customWidth="1"/>
    <col min="1288" max="1288" width="13.42578125" style="92" bestFit="1" customWidth="1"/>
    <col min="1289" max="1299" width="10.5703125" style="92" bestFit="1" customWidth="1"/>
    <col min="1300" max="1300" width="13.5703125" style="92" customWidth="1"/>
    <col min="1301" max="1301" width="16.5703125" style="92" customWidth="1"/>
    <col min="1302" max="1302" width="14.42578125" style="92" customWidth="1"/>
    <col min="1303" max="1303" width="13.28515625" style="92" bestFit="1" customWidth="1"/>
    <col min="1304" max="1304" width="13.42578125" style="92" bestFit="1" customWidth="1"/>
    <col min="1305" max="1305" width="13" style="92" customWidth="1"/>
    <col min="1306" max="1306" width="11.5703125" style="92" customWidth="1"/>
    <col min="1307" max="1307" width="13.140625" style="92" customWidth="1"/>
    <col min="1308" max="1309" width="11.5703125" style="92" customWidth="1"/>
    <col min="1310" max="1310" width="12.42578125" style="92" customWidth="1"/>
    <col min="1311" max="1311" width="13.5703125" style="92" customWidth="1"/>
    <col min="1312" max="1312" width="13.140625" style="92" bestFit="1" customWidth="1"/>
    <col min="1313" max="1313" width="18.85546875" style="92" customWidth="1"/>
    <col min="1314" max="1315" width="14.140625" style="92" customWidth="1"/>
    <col min="1316" max="1316" width="13.85546875" style="92" customWidth="1"/>
    <col min="1317" max="1317" width="14.140625" style="92" customWidth="1"/>
    <col min="1318" max="1318" width="13.7109375" style="92" customWidth="1"/>
    <col min="1319" max="1319" width="17.140625" style="92" customWidth="1"/>
    <col min="1320" max="1320" width="15.42578125" style="92" customWidth="1"/>
    <col min="1321" max="1321" width="18" style="92" customWidth="1"/>
    <col min="1322" max="1322" width="13.7109375" style="92" bestFit="1" customWidth="1"/>
    <col min="1323" max="1323" width="14.140625" style="92" bestFit="1" customWidth="1"/>
    <col min="1324" max="1324" width="14" style="92" bestFit="1" customWidth="1"/>
    <col min="1325" max="1325" width="14.85546875" style="92" bestFit="1" customWidth="1"/>
    <col min="1326" max="1326" width="15.7109375" style="92" customWidth="1"/>
    <col min="1327" max="1327" width="5.85546875" style="92" customWidth="1"/>
    <col min="1328" max="1328" width="9.28515625" style="92" customWidth="1"/>
    <col min="1329" max="1329" width="14.85546875" style="92" customWidth="1"/>
    <col min="1330" max="1330" width="12.85546875" style="92" bestFit="1" customWidth="1"/>
    <col min="1331" max="1331" width="12.85546875" style="92" customWidth="1"/>
    <col min="1332" max="1349" width="8.85546875" style="92" customWidth="1"/>
    <col min="1350" max="1350" width="30.28515625" style="92" bestFit="1" customWidth="1"/>
    <col min="1351" max="1351" width="20.7109375" style="92" customWidth="1"/>
    <col min="1352" max="1352" width="13.42578125" style="92" customWidth="1"/>
    <col min="1353" max="1353" width="8.85546875" style="92" customWidth="1"/>
    <col min="1354" max="1354" width="11.7109375" style="92" bestFit="1" customWidth="1"/>
    <col min="1355" max="1522" width="8.85546875" style="92" customWidth="1"/>
    <col min="1523" max="1523" width="29.7109375" style="92" customWidth="1"/>
    <col min="1524" max="1526" width="14.28515625" style="92" customWidth="1"/>
    <col min="1527" max="1527" width="2.7109375" style="92" customWidth="1"/>
    <col min="1528" max="1531" width="14.28515625" style="92"/>
    <col min="1532" max="1532" width="9.28515625" style="92" bestFit="1" customWidth="1"/>
    <col min="1533" max="1533" width="48.140625" style="92" customWidth="1"/>
    <col min="1534" max="1534" width="15.85546875" style="92" bestFit="1" customWidth="1"/>
    <col min="1535" max="1535" width="14.85546875" style="92" bestFit="1" customWidth="1"/>
    <col min="1536" max="1536" width="14.7109375" style="92" bestFit="1" customWidth="1"/>
    <col min="1537" max="1537" width="2.7109375" style="92" customWidth="1"/>
    <col min="1538" max="1538" width="15.85546875" style="92" bestFit="1" customWidth="1"/>
    <col min="1539" max="1540" width="14.5703125" style="92" bestFit="1" customWidth="1"/>
    <col min="1541" max="1541" width="2.7109375" style="92" customWidth="1"/>
    <col min="1542" max="1542" width="15.7109375" style="92" bestFit="1" customWidth="1"/>
    <col min="1543" max="1543" width="13.7109375" style="92" bestFit="1" customWidth="1"/>
    <col min="1544" max="1544" width="13.42578125" style="92" bestFit="1" customWidth="1"/>
    <col min="1545" max="1555" width="10.5703125" style="92" bestFit="1" customWidth="1"/>
    <col min="1556" max="1556" width="13.5703125" style="92" customWidth="1"/>
    <col min="1557" max="1557" width="16.5703125" style="92" customWidth="1"/>
    <col min="1558" max="1558" width="14.42578125" style="92" customWidth="1"/>
    <col min="1559" max="1559" width="13.28515625" style="92" bestFit="1" customWidth="1"/>
    <col min="1560" max="1560" width="13.42578125" style="92" bestFit="1" customWidth="1"/>
    <col min="1561" max="1561" width="13" style="92" customWidth="1"/>
    <col min="1562" max="1562" width="11.5703125" style="92" customWidth="1"/>
    <col min="1563" max="1563" width="13.140625" style="92" customWidth="1"/>
    <col min="1564" max="1565" width="11.5703125" style="92" customWidth="1"/>
    <col min="1566" max="1566" width="12.42578125" style="92" customWidth="1"/>
    <col min="1567" max="1567" width="13.5703125" style="92" customWidth="1"/>
    <col min="1568" max="1568" width="13.140625" style="92" bestFit="1" customWidth="1"/>
    <col min="1569" max="1569" width="18.85546875" style="92" customWidth="1"/>
    <col min="1570" max="1571" width="14.140625" style="92" customWidth="1"/>
    <col min="1572" max="1572" width="13.85546875" style="92" customWidth="1"/>
    <col min="1573" max="1573" width="14.140625" style="92" customWidth="1"/>
    <col min="1574" max="1574" width="13.7109375" style="92" customWidth="1"/>
    <col min="1575" max="1575" width="17.140625" style="92" customWidth="1"/>
    <col min="1576" max="1576" width="15.42578125" style="92" customWidth="1"/>
    <col min="1577" max="1577" width="18" style="92" customWidth="1"/>
    <col min="1578" max="1578" width="13.7109375" style="92" bestFit="1" customWidth="1"/>
    <col min="1579" max="1579" width="14.140625" style="92" bestFit="1" customWidth="1"/>
    <col min="1580" max="1580" width="14" style="92" bestFit="1" customWidth="1"/>
    <col min="1581" max="1581" width="14.85546875" style="92" bestFit="1" customWidth="1"/>
    <col min="1582" max="1582" width="15.7109375" style="92" customWidth="1"/>
    <col min="1583" max="1583" width="5.85546875" style="92" customWidth="1"/>
    <col min="1584" max="1584" width="9.28515625" style="92" customWidth="1"/>
    <col min="1585" max="1585" width="14.85546875" style="92" customWidth="1"/>
    <col min="1586" max="1586" width="12.85546875" style="92" bestFit="1" customWidth="1"/>
    <col min="1587" max="1587" width="12.85546875" style="92" customWidth="1"/>
    <col min="1588" max="1605" width="8.85546875" style="92" customWidth="1"/>
    <col min="1606" max="1606" width="30.28515625" style="92" bestFit="1" customWidth="1"/>
    <col min="1607" max="1607" width="20.7109375" style="92" customWidth="1"/>
    <col min="1608" max="1608" width="13.42578125" style="92" customWidth="1"/>
    <col min="1609" max="1609" width="8.85546875" style="92" customWidth="1"/>
    <col min="1610" max="1610" width="11.7109375" style="92" bestFit="1" customWidth="1"/>
    <col min="1611" max="1778" width="8.85546875" style="92" customWidth="1"/>
    <col min="1779" max="1779" width="29.7109375" style="92" customWidth="1"/>
    <col min="1780" max="1782" width="14.28515625" style="92" customWidth="1"/>
    <col min="1783" max="1783" width="2.7109375" style="92" customWidth="1"/>
    <col min="1784" max="1787" width="14.28515625" style="92"/>
    <col min="1788" max="1788" width="9.28515625" style="92" bestFit="1" customWidth="1"/>
    <col min="1789" max="1789" width="48.140625" style="92" customWidth="1"/>
    <col min="1790" max="1790" width="15.85546875" style="92" bestFit="1" customWidth="1"/>
    <col min="1791" max="1791" width="14.85546875" style="92" bestFit="1" customWidth="1"/>
    <col min="1792" max="1792" width="14.7109375" style="92" bestFit="1" customWidth="1"/>
    <col min="1793" max="1793" width="2.7109375" style="92" customWidth="1"/>
    <col min="1794" max="1794" width="15.85546875" style="92" bestFit="1" customWidth="1"/>
    <col min="1795" max="1796" width="14.5703125" style="92" bestFit="1" customWidth="1"/>
    <col min="1797" max="1797" width="2.7109375" style="92" customWidth="1"/>
    <col min="1798" max="1798" width="15.7109375" style="92" bestFit="1" customWidth="1"/>
    <col min="1799" max="1799" width="13.7109375" style="92" bestFit="1" customWidth="1"/>
    <col min="1800" max="1800" width="13.42578125" style="92" bestFit="1" customWidth="1"/>
    <col min="1801" max="1811" width="10.5703125" style="92" bestFit="1" customWidth="1"/>
    <col min="1812" max="1812" width="13.5703125" style="92" customWidth="1"/>
    <col min="1813" max="1813" width="16.5703125" style="92" customWidth="1"/>
    <col min="1814" max="1814" width="14.42578125" style="92" customWidth="1"/>
    <col min="1815" max="1815" width="13.28515625" style="92" bestFit="1" customWidth="1"/>
    <col min="1816" max="1816" width="13.42578125" style="92" bestFit="1" customWidth="1"/>
    <col min="1817" max="1817" width="13" style="92" customWidth="1"/>
    <col min="1818" max="1818" width="11.5703125" style="92" customWidth="1"/>
    <col min="1819" max="1819" width="13.140625" style="92" customWidth="1"/>
    <col min="1820" max="1821" width="11.5703125" style="92" customWidth="1"/>
    <col min="1822" max="1822" width="12.42578125" style="92" customWidth="1"/>
    <col min="1823" max="1823" width="13.5703125" style="92" customWidth="1"/>
    <col min="1824" max="1824" width="13.140625" style="92" bestFit="1" customWidth="1"/>
    <col min="1825" max="1825" width="18.85546875" style="92" customWidth="1"/>
    <col min="1826" max="1827" width="14.140625" style="92" customWidth="1"/>
    <col min="1828" max="1828" width="13.85546875" style="92" customWidth="1"/>
    <col min="1829" max="1829" width="14.140625" style="92" customWidth="1"/>
    <col min="1830" max="1830" width="13.7109375" style="92" customWidth="1"/>
    <col min="1831" max="1831" width="17.140625" style="92" customWidth="1"/>
    <col min="1832" max="1832" width="15.42578125" style="92" customWidth="1"/>
    <col min="1833" max="1833" width="18" style="92" customWidth="1"/>
    <col min="1834" max="1834" width="13.7109375" style="92" bestFit="1" customWidth="1"/>
    <col min="1835" max="1835" width="14.140625" style="92" bestFit="1" customWidth="1"/>
    <col min="1836" max="1836" width="14" style="92" bestFit="1" customWidth="1"/>
    <col min="1837" max="1837" width="14.85546875" style="92" bestFit="1" customWidth="1"/>
    <col min="1838" max="1838" width="15.7109375" style="92" customWidth="1"/>
    <col min="1839" max="1839" width="5.85546875" style="92" customWidth="1"/>
    <col min="1840" max="1840" width="9.28515625" style="92" customWidth="1"/>
    <col min="1841" max="1841" width="14.85546875" style="92" customWidth="1"/>
    <col min="1842" max="1842" width="12.85546875" style="92" bestFit="1" customWidth="1"/>
    <col min="1843" max="1843" width="12.85546875" style="92" customWidth="1"/>
    <col min="1844" max="1861" width="8.85546875" style="92" customWidth="1"/>
    <col min="1862" max="1862" width="30.28515625" style="92" bestFit="1" customWidth="1"/>
    <col min="1863" max="1863" width="20.7109375" style="92" customWidth="1"/>
    <col min="1864" max="1864" width="13.42578125" style="92" customWidth="1"/>
    <col min="1865" max="1865" width="8.85546875" style="92" customWidth="1"/>
    <col min="1866" max="1866" width="11.7109375" style="92" bestFit="1" customWidth="1"/>
    <col min="1867" max="2034" width="8.85546875" style="92" customWidth="1"/>
    <col min="2035" max="2035" width="29.7109375" style="92" customWidth="1"/>
    <col min="2036" max="2038" width="14.28515625" style="92" customWidth="1"/>
    <col min="2039" max="2039" width="2.7109375" style="92" customWidth="1"/>
    <col min="2040" max="2043" width="14.28515625" style="92"/>
    <col min="2044" max="2044" width="9.28515625" style="92" bestFit="1" customWidth="1"/>
    <col min="2045" max="2045" width="48.140625" style="92" customWidth="1"/>
    <col min="2046" max="2046" width="15.85546875" style="92" bestFit="1" customWidth="1"/>
    <col min="2047" max="2047" width="14.85546875" style="92" bestFit="1" customWidth="1"/>
    <col min="2048" max="2048" width="14.7109375" style="92" bestFit="1" customWidth="1"/>
    <col min="2049" max="2049" width="2.7109375" style="92" customWidth="1"/>
    <col min="2050" max="2050" width="15.85546875" style="92" bestFit="1" customWidth="1"/>
    <col min="2051" max="2052" width="14.5703125" style="92" bestFit="1" customWidth="1"/>
    <col min="2053" max="2053" width="2.7109375" style="92" customWidth="1"/>
    <col min="2054" max="2054" width="15.7109375" style="92" bestFit="1" customWidth="1"/>
    <col min="2055" max="2055" width="13.7109375" style="92" bestFit="1" customWidth="1"/>
    <col min="2056" max="2056" width="13.42578125" style="92" bestFit="1" customWidth="1"/>
    <col min="2057" max="2067" width="10.5703125" style="92" bestFit="1" customWidth="1"/>
    <col min="2068" max="2068" width="13.5703125" style="92" customWidth="1"/>
    <col min="2069" max="2069" width="16.5703125" style="92" customWidth="1"/>
    <col min="2070" max="2070" width="14.42578125" style="92" customWidth="1"/>
    <col min="2071" max="2071" width="13.28515625" style="92" bestFit="1" customWidth="1"/>
    <col min="2072" max="2072" width="13.42578125" style="92" bestFit="1" customWidth="1"/>
    <col min="2073" max="2073" width="13" style="92" customWidth="1"/>
    <col min="2074" max="2074" width="11.5703125" style="92" customWidth="1"/>
    <col min="2075" max="2075" width="13.140625" style="92" customWidth="1"/>
    <col min="2076" max="2077" width="11.5703125" style="92" customWidth="1"/>
    <col min="2078" max="2078" width="12.42578125" style="92" customWidth="1"/>
    <col min="2079" max="2079" width="13.5703125" style="92" customWidth="1"/>
    <col min="2080" max="2080" width="13.140625" style="92" bestFit="1" customWidth="1"/>
    <col min="2081" max="2081" width="18.85546875" style="92" customWidth="1"/>
    <col min="2082" max="2083" width="14.140625" style="92" customWidth="1"/>
    <col min="2084" max="2084" width="13.85546875" style="92" customWidth="1"/>
    <col min="2085" max="2085" width="14.140625" style="92" customWidth="1"/>
    <col min="2086" max="2086" width="13.7109375" style="92" customWidth="1"/>
    <col min="2087" max="2087" width="17.140625" style="92" customWidth="1"/>
    <col min="2088" max="2088" width="15.42578125" style="92" customWidth="1"/>
    <col min="2089" max="2089" width="18" style="92" customWidth="1"/>
    <col min="2090" max="2090" width="13.7109375" style="92" bestFit="1" customWidth="1"/>
    <col min="2091" max="2091" width="14.140625" style="92" bestFit="1" customWidth="1"/>
    <col min="2092" max="2092" width="14" style="92" bestFit="1" customWidth="1"/>
    <col min="2093" max="2093" width="14.85546875" style="92" bestFit="1" customWidth="1"/>
    <col min="2094" max="2094" width="15.7109375" style="92" customWidth="1"/>
    <col min="2095" max="2095" width="5.85546875" style="92" customWidth="1"/>
    <col min="2096" max="2096" width="9.28515625" style="92" customWidth="1"/>
    <col min="2097" max="2097" width="14.85546875" style="92" customWidth="1"/>
    <col min="2098" max="2098" width="12.85546875" style="92" bestFit="1" customWidth="1"/>
    <col min="2099" max="2099" width="12.85546875" style="92" customWidth="1"/>
    <col min="2100" max="2117" width="8.85546875" style="92" customWidth="1"/>
    <col min="2118" max="2118" width="30.28515625" style="92" bestFit="1" customWidth="1"/>
    <col min="2119" max="2119" width="20.7109375" style="92" customWidth="1"/>
    <col min="2120" max="2120" width="13.42578125" style="92" customWidth="1"/>
    <col min="2121" max="2121" width="8.85546875" style="92" customWidth="1"/>
    <col min="2122" max="2122" width="11.7109375" style="92" bestFit="1" customWidth="1"/>
    <col min="2123" max="2290" width="8.85546875" style="92" customWidth="1"/>
    <col min="2291" max="2291" width="29.7109375" style="92" customWidth="1"/>
    <col min="2292" max="2294" width="14.28515625" style="92" customWidth="1"/>
    <col min="2295" max="2295" width="2.7109375" style="92" customWidth="1"/>
    <col min="2296" max="2299" width="14.28515625" style="92"/>
    <col min="2300" max="2300" width="9.28515625" style="92" bestFit="1" customWidth="1"/>
    <col min="2301" max="2301" width="48.140625" style="92" customWidth="1"/>
    <col min="2302" max="2302" width="15.85546875" style="92" bestFit="1" customWidth="1"/>
    <col min="2303" max="2303" width="14.85546875" style="92" bestFit="1" customWidth="1"/>
    <col min="2304" max="2304" width="14.7109375" style="92" bestFit="1" customWidth="1"/>
    <col min="2305" max="2305" width="2.7109375" style="92" customWidth="1"/>
    <col min="2306" max="2306" width="15.85546875" style="92" bestFit="1" customWidth="1"/>
    <col min="2307" max="2308" width="14.5703125" style="92" bestFit="1" customWidth="1"/>
    <col min="2309" max="2309" width="2.7109375" style="92" customWidth="1"/>
    <col min="2310" max="2310" width="15.7109375" style="92" bestFit="1" customWidth="1"/>
    <col min="2311" max="2311" width="13.7109375" style="92" bestFit="1" customWidth="1"/>
    <col min="2312" max="2312" width="13.42578125" style="92" bestFit="1" customWidth="1"/>
    <col min="2313" max="2323" width="10.5703125" style="92" bestFit="1" customWidth="1"/>
    <col min="2324" max="2324" width="13.5703125" style="92" customWidth="1"/>
    <col min="2325" max="2325" width="16.5703125" style="92" customWidth="1"/>
    <col min="2326" max="2326" width="14.42578125" style="92" customWidth="1"/>
    <col min="2327" max="2327" width="13.28515625" style="92" bestFit="1" customWidth="1"/>
    <col min="2328" max="2328" width="13.42578125" style="92" bestFit="1" customWidth="1"/>
    <col min="2329" max="2329" width="13" style="92" customWidth="1"/>
    <col min="2330" max="2330" width="11.5703125" style="92" customWidth="1"/>
    <col min="2331" max="2331" width="13.140625" style="92" customWidth="1"/>
    <col min="2332" max="2333" width="11.5703125" style="92" customWidth="1"/>
    <col min="2334" max="2334" width="12.42578125" style="92" customWidth="1"/>
    <col min="2335" max="2335" width="13.5703125" style="92" customWidth="1"/>
    <col min="2336" max="2336" width="13.140625" style="92" bestFit="1" customWidth="1"/>
    <col min="2337" max="2337" width="18.85546875" style="92" customWidth="1"/>
    <col min="2338" max="2339" width="14.140625" style="92" customWidth="1"/>
    <col min="2340" max="2340" width="13.85546875" style="92" customWidth="1"/>
    <col min="2341" max="2341" width="14.140625" style="92" customWidth="1"/>
    <col min="2342" max="2342" width="13.7109375" style="92" customWidth="1"/>
    <col min="2343" max="2343" width="17.140625" style="92" customWidth="1"/>
    <col min="2344" max="2344" width="15.42578125" style="92" customWidth="1"/>
    <col min="2345" max="2345" width="18" style="92" customWidth="1"/>
    <col min="2346" max="2346" width="13.7109375" style="92" bestFit="1" customWidth="1"/>
    <col min="2347" max="2347" width="14.140625" style="92" bestFit="1" customWidth="1"/>
    <col min="2348" max="2348" width="14" style="92" bestFit="1" customWidth="1"/>
    <col min="2349" max="2349" width="14.85546875" style="92" bestFit="1" customWidth="1"/>
    <col min="2350" max="2350" width="15.7109375" style="92" customWidth="1"/>
    <col min="2351" max="2351" width="5.85546875" style="92" customWidth="1"/>
    <col min="2352" max="2352" width="9.28515625" style="92" customWidth="1"/>
    <col min="2353" max="2353" width="14.85546875" style="92" customWidth="1"/>
    <col min="2354" max="2354" width="12.85546875" style="92" bestFit="1" customWidth="1"/>
    <col min="2355" max="2355" width="12.85546875" style="92" customWidth="1"/>
    <col min="2356" max="2373" width="8.85546875" style="92" customWidth="1"/>
    <col min="2374" max="2374" width="30.28515625" style="92" bestFit="1" customWidth="1"/>
    <col min="2375" max="2375" width="20.7109375" style="92" customWidth="1"/>
    <col min="2376" max="2376" width="13.42578125" style="92" customWidth="1"/>
    <col min="2377" max="2377" width="8.85546875" style="92" customWidth="1"/>
    <col min="2378" max="2378" width="11.7109375" style="92" bestFit="1" customWidth="1"/>
    <col min="2379" max="2546" width="8.85546875" style="92" customWidth="1"/>
    <col min="2547" max="2547" width="29.7109375" style="92" customWidth="1"/>
    <col min="2548" max="2550" width="14.28515625" style="92" customWidth="1"/>
    <col min="2551" max="2551" width="2.7109375" style="92" customWidth="1"/>
    <col min="2552" max="2555" width="14.28515625" style="92"/>
    <col min="2556" max="2556" width="9.28515625" style="92" bestFit="1" customWidth="1"/>
    <col min="2557" max="2557" width="48.140625" style="92" customWidth="1"/>
    <col min="2558" max="2558" width="15.85546875" style="92" bestFit="1" customWidth="1"/>
    <col min="2559" max="2559" width="14.85546875" style="92" bestFit="1" customWidth="1"/>
    <col min="2560" max="2560" width="14.7109375" style="92" bestFit="1" customWidth="1"/>
    <col min="2561" max="2561" width="2.7109375" style="92" customWidth="1"/>
    <col min="2562" max="2562" width="15.85546875" style="92" bestFit="1" customWidth="1"/>
    <col min="2563" max="2564" width="14.5703125" style="92" bestFit="1" customWidth="1"/>
    <col min="2565" max="2565" width="2.7109375" style="92" customWidth="1"/>
    <col min="2566" max="2566" width="15.7109375" style="92" bestFit="1" customWidth="1"/>
    <col min="2567" max="2567" width="13.7109375" style="92" bestFit="1" customWidth="1"/>
    <col min="2568" max="2568" width="13.42578125" style="92" bestFit="1" customWidth="1"/>
    <col min="2569" max="2579" width="10.5703125" style="92" bestFit="1" customWidth="1"/>
    <col min="2580" max="2580" width="13.5703125" style="92" customWidth="1"/>
    <col min="2581" max="2581" width="16.5703125" style="92" customWidth="1"/>
    <col min="2582" max="2582" width="14.42578125" style="92" customWidth="1"/>
    <col min="2583" max="2583" width="13.28515625" style="92" bestFit="1" customWidth="1"/>
    <col min="2584" max="2584" width="13.42578125" style="92" bestFit="1" customWidth="1"/>
    <col min="2585" max="2585" width="13" style="92" customWidth="1"/>
    <col min="2586" max="2586" width="11.5703125" style="92" customWidth="1"/>
    <col min="2587" max="2587" width="13.140625" style="92" customWidth="1"/>
    <col min="2588" max="2589" width="11.5703125" style="92" customWidth="1"/>
    <col min="2590" max="2590" width="12.42578125" style="92" customWidth="1"/>
    <col min="2591" max="2591" width="13.5703125" style="92" customWidth="1"/>
    <col min="2592" max="2592" width="13.140625" style="92" bestFit="1" customWidth="1"/>
    <col min="2593" max="2593" width="18.85546875" style="92" customWidth="1"/>
    <col min="2594" max="2595" width="14.140625" style="92" customWidth="1"/>
    <col min="2596" max="2596" width="13.85546875" style="92" customWidth="1"/>
    <col min="2597" max="2597" width="14.140625" style="92" customWidth="1"/>
    <col min="2598" max="2598" width="13.7109375" style="92" customWidth="1"/>
    <col min="2599" max="2599" width="17.140625" style="92" customWidth="1"/>
    <col min="2600" max="2600" width="15.42578125" style="92" customWidth="1"/>
    <col min="2601" max="2601" width="18" style="92" customWidth="1"/>
    <col min="2602" max="2602" width="13.7109375" style="92" bestFit="1" customWidth="1"/>
    <col min="2603" max="2603" width="14.140625" style="92" bestFit="1" customWidth="1"/>
    <col min="2604" max="2604" width="14" style="92" bestFit="1" customWidth="1"/>
    <col min="2605" max="2605" width="14.85546875" style="92" bestFit="1" customWidth="1"/>
    <col min="2606" max="2606" width="15.7109375" style="92" customWidth="1"/>
    <col min="2607" max="2607" width="5.85546875" style="92" customWidth="1"/>
    <col min="2608" max="2608" width="9.28515625" style="92" customWidth="1"/>
    <col min="2609" max="2609" width="14.85546875" style="92" customWidth="1"/>
    <col min="2610" max="2610" width="12.85546875" style="92" bestFit="1" customWidth="1"/>
    <col min="2611" max="2611" width="12.85546875" style="92" customWidth="1"/>
    <col min="2612" max="2629" width="8.85546875" style="92" customWidth="1"/>
    <col min="2630" max="2630" width="30.28515625" style="92" bestFit="1" customWidth="1"/>
    <col min="2631" max="2631" width="20.7109375" style="92" customWidth="1"/>
    <col min="2632" max="2632" width="13.42578125" style="92" customWidth="1"/>
    <col min="2633" max="2633" width="8.85546875" style="92" customWidth="1"/>
    <col min="2634" max="2634" width="11.7109375" style="92" bestFit="1" customWidth="1"/>
    <col min="2635" max="2802" width="8.85546875" style="92" customWidth="1"/>
    <col min="2803" max="2803" width="29.7109375" style="92" customWidth="1"/>
    <col min="2804" max="2806" width="14.28515625" style="92" customWidth="1"/>
    <col min="2807" max="2807" width="2.7109375" style="92" customWidth="1"/>
    <col min="2808" max="2811" width="14.28515625" style="92"/>
    <col min="2812" max="2812" width="9.28515625" style="92" bestFit="1" customWidth="1"/>
    <col min="2813" max="2813" width="48.140625" style="92" customWidth="1"/>
    <col min="2814" max="2814" width="15.85546875" style="92" bestFit="1" customWidth="1"/>
    <col min="2815" max="2815" width="14.85546875" style="92" bestFit="1" customWidth="1"/>
    <col min="2816" max="2816" width="14.7109375" style="92" bestFit="1" customWidth="1"/>
    <col min="2817" max="2817" width="2.7109375" style="92" customWidth="1"/>
    <col min="2818" max="2818" width="15.85546875" style="92" bestFit="1" customWidth="1"/>
    <col min="2819" max="2820" width="14.5703125" style="92" bestFit="1" customWidth="1"/>
    <col min="2821" max="2821" width="2.7109375" style="92" customWidth="1"/>
    <col min="2822" max="2822" width="15.7109375" style="92" bestFit="1" customWidth="1"/>
    <col min="2823" max="2823" width="13.7109375" style="92" bestFit="1" customWidth="1"/>
    <col min="2824" max="2824" width="13.42578125" style="92" bestFit="1" customWidth="1"/>
    <col min="2825" max="2835" width="10.5703125" style="92" bestFit="1" customWidth="1"/>
    <col min="2836" max="2836" width="13.5703125" style="92" customWidth="1"/>
    <col min="2837" max="2837" width="16.5703125" style="92" customWidth="1"/>
    <col min="2838" max="2838" width="14.42578125" style="92" customWidth="1"/>
    <col min="2839" max="2839" width="13.28515625" style="92" bestFit="1" customWidth="1"/>
    <col min="2840" max="2840" width="13.42578125" style="92" bestFit="1" customWidth="1"/>
    <col min="2841" max="2841" width="13" style="92" customWidth="1"/>
    <col min="2842" max="2842" width="11.5703125" style="92" customWidth="1"/>
    <col min="2843" max="2843" width="13.140625" style="92" customWidth="1"/>
    <col min="2844" max="2845" width="11.5703125" style="92" customWidth="1"/>
    <col min="2846" max="2846" width="12.42578125" style="92" customWidth="1"/>
    <col min="2847" max="2847" width="13.5703125" style="92" customWidth="1"/>
    <col min="2848" max="2848" width="13.140625" style="92" bestFit="1" customWidth="1"/>
    <col min="2849" max="2849" width="18.85546875" style="92" customWidth="1"/>
    <col min="2850" max="2851" width="14.140625" style="92" customWidth="1"/>
    <col min="2852" max="2852" width="13.85546875" style="92" customWidth="1"/>
    <col min="2853" max="2853" width="14.140625" style="92" customWidth="1"/>
    <col min="2854" max="2854" width="13.7109375" style="92" customWidth="1"/>
    <col min="2855" max="2855" width="17.140625" style="92" customWidth="1"/>
    <col min="2856" max="2856" width="15.42578125" style="92" customWidth="1"/>
    <col min="2857" max="2857" width="18" style="92" customWidth="1"/>
    <col min="2858" max="2858" width="13.7109375" style="92" bestFit="1" customWidth="1"/>
    <col min="2859" max="2859" width="14.140625" style="92" bestFit="1" customWidth="1"/>
    <col min="2860" max="2860" width="14" style="92" bestFit="1" customWidth="1"/>
    <col min="2861" max="2861" width="14.85546875" style="92" bestFit="1" customWidth="1"/>
    <col min="2862" max="2862" width="15.7109375" style="92" customWidth="1"/>
    <col min="2863" max="2863" width="5.85546875" style="92" customWidth="1"/>
    <col min="2864" max="2864" width="9.28515625" style="92" customWidth="1"/>
    <col min="2865" max="2865" width="14.85546875" style="92" customWidth="1"/>
    <col min="2866" max="2866" width="12.85546875" style="92" bestFit="1" customWidth="1"/>
    <col min="2867" max="2867" width="12.85546875" style="92" customWidth="1"/>
    <col min="2868" max="2885" width="8.85546875" style="92" customWidth="1"/>
    <col min="2886" max="2886" width="30.28515625" style="92" bestFit="1" customWidth="1"/>
    <col min="2887" max="2887" width="20.7109375" style="92" customWidth="1"/>
    <col min="2888" max="2888" width="13.42578125" style="92" customWidth="1"/>
    <col min="2889" max="2889" width="8.85546875" style="92" customWidth="1"/>
    <col min="2890" max="2890" width="11.7109375" style="92" bestFit="1" customWidth="1"/>
    <col min="2891" max="3058" width="8.85546875" style="92" customWidth="1"/>
    <col min="3059" max="3059" width="29.7109375" style="92" customWidth="1"/>
    <col min="3060" max="3062" width="14.28515625" style="92" customWidth="1"/>
    <col min="3063" max="3063" width="2.7109375" style="92" customWidth="1"/>
    <col min="3064" max="3067" width="14.28515625" style="92"/>
    <col min="3068" max="3068" width="9.28515625" style="92" bestFit="1" customWidth="1"/>
    <col min="3069" max="3069" width="48.140625" style="92" customWidth="1"/>
    <col min="3070" max="3070" width="15.85546875" style="92" bestFit="1" customWidth="1"/>
    <col min="3071" max="3071" width="14.85546875" style="92" bestFit="1" customWidth="1"/>
    <col min="3072" max="3072" width="14.7109375" style="92" bestFit="1" customWidth="1"/>
    <col min="3073" max="3073" width="2.7109375" style="92" customWidth="1"/>
    <col min="3074" max="3074" width="15.85546875" style="92" bestFit="1" customWidth="1"/>
    <col min="3075" max="3076" width="14.5703125" style="92" bestFit="1" customWidth="1"/>
    <col min="3077" max="3077" width="2.7109375" style="92" customWidth="1"/>
    <col min="3078" max="3078" width="15.7109375" style="92" bestFit="1" customWidth="1"/>
    <col min="3079" max="3079" width="13.7109375" style="92" bestFit="1" customWidth="1"/>
    <col min="3080" max="3080" width="13.42578125" style="92" bestFit="1" customWidth="1"/>
    <col min="3081" max="3091" width="10.5703125" style="92" bestFit="1" customWidth="1"/>
    <col min="3092" max="3092" width="13.5703125" style="92" customWidth="1"/>
    <col min="3093" max="3093" width="16.5703125" style="92" customWidth="1"/>
    <col min="3094" max="3094" width="14.42578125" style="92" customWidth="1"/>
    <col min="3095" max="3095" width="13.28515625" style="92" bestFit="1" customWidth="1"/>
    <col min="3096" max="3096" width="13.42578125" style="92" bestFit="1" customWidth="1"/>
    <col min="3097" max="3097" width="13" style="92" customWidth="1"/>
    <col min="3098" max="3098" width="11.5703125" style="92" customWidth="1"/>
    <col min="3099" max="3099" width="13.140625" style="92" customWidth="1"/>
    <col min="3100" max="3101" width="11.5703125" style="92" customWidth="1"/>
    <col min="3102" max="3102" width="12.42578125" style="92" customWidth="1"/>
    <col min="3103" max="3103" width="13.5703125" style="92" customWidth="1"/>
    <col min="3104" max="3104" width="13.140625" style="92" bestFit="1" customWidth="1"/>
    <col min="3105" max="3105" width="18.85546875" style="92" customWidth="1"/>
    <col min="3106" max="3107" width="14.140625" style="92" customWidth="1"/>
    <col min="3108" max="3108" width="13.85546875" style="92" customWidth="1"/>
    <col min="3109" max="3109" width="14.140625" style="92" customWidth="1"/>
    <col min="3110" max="3110" width="13.7109375" style="92" customWidth="1"/>
    <col min="3111" max="3111" width="17.140625" style="92" customWidth="1"/>
    <col min="3112" max="3112" width="15.42578125" style="92" customWidth="1"/>
    <col min="3113" max="3113" width="18" style="92" customWidth="1"/>
    <col min="3114" max="3114" width="13.7109375" style="92" bestFit="1" customWidth="1"/>
    <col min="3115" max="3115" width="14.140625" style="92" bestFit="1" customWidth="1"/>
    <col min="3116" max="3116" width="14" style="92" bestFit="1" customWidth="1"/>
    <col min="3117" max="3117" width="14.85546875" style="92" bestFit="1" customWidth="1"/>
    <col min="3118" max="3118" width="15.7109375" style="92" customWidth="1"/>
    <col min="3119" max="3119" width="5.85546875" style="92" customWidth="1"/>
    <col min="3120" max="3120" width="9.28515625" style="92" customWidth="1"/>
    <col min="3121" max="3121" width="14.85546875" style="92" customWidth="1"/>
    <col min="3122" max="3122" width="12.85546875" style="92" bestFit="1" customWidth="1"/>
    <col min="3123" max="3123" width="12.85546875" style="92" customWidth="1"/>
    <col min="3124" max="3141" width="8.85546875" style="92" customWidth="1"/>
    <col min="3142" max="3142" width="30.28515625" style="92" bestFit="1" customWidth="1"/>
    <col min="3143" max="3143" width="20.7109375" style="92" customWidth="1"/>
    <col min="3144" max="3144" width="13.42578125" style="92" customWidth="1"/>
    <col min="3145" max="3145" width="8.85546875" style="92" customWidth="1"/>
    <col min="3146" max="3146" width="11.7109375" style="92" bestFit="1" customWidth="1"/>
    <col min="3147" max="3314" width="8.85546875" style="92" customWidth="1"/>
    <col min="3315" max="3315" width="29.7109375" style="92" customWidth="1"/>
    <col min="3316" max="3318" width="14.28515625" style="92" customWidth="1"/>
    <col min="3319" max="3319" width="2.7109375" style="92" customWidth="1"/>
    <col min="3320" max="3323" width="14.28515625" style="92"/>
    <col min="3324" max="3324" width="9.28515625" style="92" bestFit="1" customWidth="1"/>
    <col min="3325" max="3325" width="48.140625" style="92" customWidth="1"/>
    <col min="3326" max="3326" width="15.85546875" style="92" bestFit="1" customWidth="1"/>
    <col min="3327" max="3327" width="14.85546875" style="92" bestFit="1" customWidth="1"/>
    <col min="3328" max="3328" width="14.7109375" style="92" bestFit="1" customWidth="1"/>
    <col min="3329" max="3329" width="2.7109375" style="92" customWidth="1"/>
    <col min="3330" max="3330" width="15.85546875" style="92" bestFit="1" customWidth="1"/>
    <col min="3331" max="3332" width="14.5703125" style="92" bestFit="1" customWidth="1"/>
    <col min="3333" max="3333" width="2.7109375" style="92" customWidth="1"/>
    <col min="3334" max="3334" width="15.7109375" style="92" bestFit="1" customWidth="1"/>
    <col min="3335" max="3335" width="13.7109375" style="92" bestFit="1" customWidth="1"/>
    <col min="3336" max="3336" width="13.42578125" style="92" bestFit="1" customWidth="1"/>
    <col min="3337" max="3347" width="10.5703125" style="92" bestFit="1" customWidth="1"/>
    <col min="3348" max="3348" width="13.5703125" style="92" customWidth="1"/>
    <col min="3349" max="3349" width="16.5703125" style="92" customWidth="1"/>
    <col min="3350" max="3350" width="14.42578125" style="92" customWidth="1"/>
    <col min="3351" max="3351" width="13.28515625" style="92" bestFit="1" customWidth="1"/>
    <col min="3352" max="3352" width="13.42578125" style="92" bestFit="1" customWidth="1"/>
    <col min="3353" max="3353" width="13" style="92" customWidth="1"/>
    <col min="3354" max="3354" width="11.5703125" style="92" customWidth="1"/>
    <col min="3355" max="3355" width="13.140625" style="92" customWidth="1"/>
    <col min="3356" max="3357" width="11.5703125" style="92" customWidth="1"/>
    <col min="3358" max="3358" width="12.42578125" style="92" customWidth="1"/>
    <col min="3359" max="3359" width="13.5703125" style="92" customWidth="1"/>
    <col min="3360" max="3360" width="13.140625" style="92" bestFit="1" customWidth="1"/>
    <col min="3361" max="3361" width="18.85546875" style="92" customWidth="1"/>
    <col min="3362" max="3363" width="14.140625" style="92" customWidth="1"/>
    <col min="3364" max="3364" width="13.85546875" style="92" customWidth="1"/>
    <col min="3365" max="3365" width="14.140625" style="92" customWidth="1"/>
    <col min="3366" max="3366" width="13.7109375" style="92" customWidth="1"/>
    <col min="3367" max="3367" width="17.140625" style="92" customWidth="1"/>
    <col min="3368" max="3368" width="15.42578125" style="92" customWidth="1"/>
    <col min="3369" max="3369" width="18" style="92" customWidth="1"/>
    <col min="3370" max="3370" width="13.7109375" style="92" bestFit="1" customWidth="1"/>
    <col min="3371" max="3371" width="14.140625" style="92" bestFit="1" customWidth="1"/>
    <col min="3372" max="3372" width="14" style="92" bestFit="1" customWidth="1"/>
    <col min="3373" max="3373" width="14.85546875" style="92" bestFit="1" customWidth="1"/>
    <col min="3374" max="3374" width="15.7109375" style="92" customWidth="1"/>
    <col min="3375" max="3375" width="5.85546875" style="92" customWidth="1"/>
    <col min="3376" max="3376" width="9.28515625" style="92" customWidth="1"/>
    <col min="3377" max="3377" width="14.85546875" style="92" customWidth="1"/>
    <col min="3378" max="3378" width="12.85546875" style="92" bestFit="1" customWidth="1"/>
    <col min="3379" max="3379" width="12.85546875" style="92" customWidth="1"/>
    <col min="3380" max="3397" width="8.85546875" style="92" customWidth="1"/>
    <col min="3398" max="3398" width="30.28515625" style="92" bestFit="1" customWidth="1"/>
    <col min="3399" max="3399" width="20.7109375" style="92" customWidth="1"/>
    <col min="3400" max="3400" width="13.42578125" style="92" customWidth="1"/>
    <col min="3401" max="3401" width="8.85546875" style="92" customWidth="1"/>
    <col min="3402" max="3402" width="11.7109375" style="92" bestFit="1" customWidth="1"/>
    <col min="3403" max="3570" width="8.85546875" style="92" customWidth="1"/>
    <col min="3571" max="3571" width="29.7109375" style="92" customWidth="1"/>
    <col min="3572" max="3574" width="14.28515625" style="92" customWidth="1"/>
    <col min="3575" max="3575" width="2.7109375" style="92" customWidth="1"/>
    <col min="3576" max="3579" width="14.28515625" style="92"/>
    <col min="3580" max="3580" width="9.28515625" style="92" bestFit="1" customWidth="1"/>
    <col min="3581" max="3581" width="48.140625" style="92" customWidth="1"/>
    <col min="3582" max="3582" width="15.85546875" style="92" bestFit="1" customWidth="1"/>
    <col min="3583" max="3583" width="14.85546875" style="92" bestFit="1" customWidth="1"/>
    <col min="3584" max="3584" width="14.7109375" style="92" bestFit="1" customWidth="1"/>
    <col min="3585" max="3585" width="2.7109375" style="92" customWidth="1"/>
    <col min="3586" max="3586" width="15.85546875" style="92" bestFit="1" customWidth="1"/>
    <col min="3587" max="3588" width="14.5703125" style="92" bestFit="1" customWidth="1"/>
    <col min="3589" max="3589" width="2.7109375" style="92" customWidth="1"/>
    <col min="3590" max="3590" width="15.7109375" style="92" bestFit="1" customWidth="1"/>
    <col min="3591" max="3591" width="13.7109375" style="92" bestFit="1" customWidth="1"/>
    <col min="3592" max="3592" width="13.42578125" style="92" bestFit="1" customWidth="1"/>
    <col min="3593" max="3603" width="10.5703125" style="92" bestFit="1" customWidth="1"/>
    <col min="3604" max="3604" width="13.5703125" style="92" customWidth="1"/>
    <col min="3605" max="3605" width="16.5703125" style="92" customWidth="1"/>
    <col min="3606" max="3606" width="14.42578125" style="92" customWidth="1"/>
    <col min="3607" max="3607" width="13.28515625" style="92" bestFit="1" customWidth="1"/>
    <col min="3608" max="3608" width="13.42578125" style="92" bestFit="1" customWidth="1"/>
    <col min="3609" max="3609" width="13" style="92" customWidth="1"/>
    <col min="3610" max="3610" width="11.5703125" style="92" customWidth="1"/>
    <col min="3611" max="3611" width="13.140625" style="92" customWidth="1"/>
    <col min="3612" max="3613" width="11.5703125" style="92" customWidth="1"/>
    <col min="3614" max="3614" width="12.42578125" style="92" customWidth="1"/>
    <col min="3615" max="3615" width="13.5703125" style="92" customWidth="1"/>
    <col min="3616" max="3616" width="13.140625" style="92" bestFit="1" customWidth="1"/>
    <col min="3617" max="3617" width="18.85546875" style="92" customWidth="1"/>
    <col min="3618" max="3619" width="14.140625" style="92" customWidth="1"/>
    <col min="3620" max="3620" width="13.85546875" style="92" customWidth="1"/>
    <col min="3621" max="3621" width="14.140625" style="92" customWidth="1"/>
    <col min="3622" max="3622" width="13.7109375" style="92" customWidth="1"/>
    <col min="3623" max="3623" width="17.140625" style="92" customWidth="1"/>
    <col min="3624" max="3624" width="15.42578125" style="92" customWidth="1"/>
    <col min="3625" max="3625" width="18" style="92" customWidth="1"/>
    <col min="3626" max="3626" width="13.7109375" style="92" bestFit="1" customWidth="1"/>
    <col min="3627" max="3627" width="14.140625" style="92" bestFit="1" customWidth="1"/>
    <col min="3628" max="3628" width="14" style="92" bestFit="1" customWidth="1"/>
    <col min="3629" max="3629" width="14.85546875" style="92" bestFit="1" customWidth="1"/>
    <col min="3630" max="3630" width="15.7109375" style="92" customWidth="1"/>
    <col min="3631" max="3631" width="5.85546875" style="92" customWidth="1"/>
    <col min="3632" max="3632" width="9.28515625" style="92" customWidth="1"/>
    <col min="3633" max="3633" width="14.85546875" style="92" customWidth="1"/>
    <col min="3634" max="3634" width="12.85546875" style="92" bestFit="1" customWidth="1"/>
    <col min="3635" max="3635" width="12.85546875" style="92" customWidth="1"/>
    <col min="3636" max="3653" width="8.85546875" style="92" customWidth="1"/>
    <col min="3654" max="3654" width="30.28515625" style="92" bestFit="1" customWidth="1"/>
    <col min="3655" max="3655" width="20.7109375" style="92" customWidth="1"/>
    <col min="3656" max="3656" width="13.42578125" style="92" customWidth="1"/>
    <col min="3657" max="3657" width="8.85546875" style="92" customWidth="1"/>
    <col min="3658" max="3658" width="11.7109375" style="92" bestFit="1" customWidth="1"/>
    <col min="3659" max="3826" width="8.85546875" style="92" customWidth="1"/>
    <col min="3827" max="3827" width="29.7109375" style="92" customWidth="1"/>
    <col min="3828" max="3830" width="14.28515625" style="92" customWidth="1"/>
    <col min="3831" max="3831" width="2.7109375" style="92" customWidth="1"/>
    <col min="3832" max="3835" width="14.28515625" style="92"/>
    <col min="3836" max="3836" width="9.28515625" style="92" bestFit="1" customWidth="1"/>
    <col min="3837" max="3837" width="48.140625" style="92" customWidth="1"/>
    <col min="3838" max="3838" width="15.85546875" style="92" bestFit="1" customWidth="1"/>
    <col min="3839" max="3839" width="14.85546875" style="92" bestFit="1" customWidth="1"/>
    <col min="3840" max="3840" width="14.7109375" style="92" bestFit="1" customWidth="1"/>
    <col min="3841" max="3841" width="2.7109375" style="92" customWidth="1"/>
    <col min="3842" max="3842" width="15.85546875" style="92" bestFit="1" customWidth="1"/>
    <col min="3843" max="3844" width="14.5703125" style="92" bestFit="1" customWidth="1"/>
    <col min="3845" max="3845" width="2.7109375" style="92" customWidth="1"/>
    <col min="3846" max="3846" width="15.7109375" style="92" bestFit="1" customWidth="1"/>
    <col min="3847" max="3847" width="13.7109375" style="92" bestFit="1" customWidth="1"/>
    <col min="3848" max="3848" width="13.42578125" style="92" bestFit="1" customWidth="1"/>
    <col min="3849" max="3859" width="10.5703125" style="92" bestFit="1" customWidth="1"/>
    <col min="3860" max="3860" width="13.5703125" style="92" customWidth="1"/>
    <col min="3861" max="3861" width="16.5703125" style="92" customWidth="1"/>
    <col min="3862" max="3862" width="14.42578125" style="92" customWidth="1"/>
    <col min="3863" max="3863" width="13.28515625" style="92" bestFit="1" customWidth="1"/>
    <col min="3864" max="3864" width="13.42578125" style="92" bestFit="1" customWidth="1"/>
    <col min="3865" max="3865" width="13" style="92" customWidth="1"/>
    <col min="3866" max="3866" width="11.5703125" style="92" customWidth="1"/>
    <col min="3867" max="3867" width="13.140625" style="92" customWidth="1"/>
    <col min="3868" max="3869" width="11.5703125" style="92" customWidth="1"/>
    <col min="3870" max="3870" width="12.42578125" style="92" customWidth="1"/>
    <col min="3871" max="3871" width="13.5703125" style="92" customWidth="1"/>
    <col min="3872" max="3872" width="13.140625" style="92" bestFit="1" customWidth="1"/>
    <col min="3873" max="3873" width="18.85546875" style="92" customWidth="1"/>
    <col min="3874" max="3875" width="14.140625" style="92" customWidth="1"/>
    <col min="3876" max="3876" width="13.85546875" style="92" customWidth="1"/>
    <col min="3877" max="3877" width="14.140625" style="92" customWidth="1"/>
    <col min="3878" max="3878" width="13.7109375" style="92" customWidth="1"/>
    <col min="3879" max="3879" width="17.140625" style="92" customWidth="1"/>
    <col min="3880" max="3880" width="15.42578125" style="92" customWidth="1"/>
    <col min="3881" max="3881" width="18" style="92" customWidth="1"/>
    <col min="3882" max="3882" width="13.7109375" style="92" bestFit="1" customWidth="1"/>
    <col min="3883" max="3883" width="14.140625" style="92" bestFit="1" customWidth="1"/>
    <col min="3884" max="3884" width="14" style="92" bestFit="1" customWidth="1"/>
    <col min="3885" max="3885" width="14.85546875" style="92" bestFit="1" customWidth="1"/>
    <col min="3886" max="3886" width="15.7109375" style="92" customWidth="1"/>
    <col min="3887" max="3887" width="5.85546875" style="92" customWidth="1"/>
    <col min="3888" max="3888" width="9.28515625" style="92" customWidth="1"/>
    <col min="3889" max="3889" width="14.85546875" style="92" customWidth="1"/>
    <col min="3890" max="3890" width="12.85546875" style="92" bestFit="1" customWidth="1"/>
    <col min="3891" max="3891" width="12.85546875" style="92" customWidth="1"/>
    <col min="3892" max="3909" width="8.85546875" style="92" customWidth="1"/>
    <col min="3910" max="3910" width="30.28515625" style="92" bestFit="1" customWidth="1"/>
    <col min="3911" max="3911" width="20.7109375" style="92" customWidth="1"/>
    <col min="3912" max="3912" width="13.42578125" style="92" customWidth="1"/>
    <col min="3913" max="3913" width="8.85546875" style="92" customWidth="1"/>
    <col min="3914" max="3914" width="11.7109375" style="92" bestFit="1" customWidth="1"/>
    <col min="3915" max="4082" width="8.85546875" style="92" customWidth="1"/>
    <col min="4083" max="4083" width="29.7109375" style="92" customWidth="1"/>
    <col min="4084" max="4086" width="14.28515625" style="92" customWidth="1"/>
    <col min="4087" max="4087" width="2.7109375" style="92" customWidth="1"/>
    <col min="4088" max="4091" width="14.28515625" style="92"/>
    <col min="4092" max="4092" width="9.28515625" style="92" bestFit="1" customWidth="1"/>
    <col min="4093" max="4093" width="48.140625" style="92" customWidth="1"/>
    <col min="4094" max="4094" width="15.85546875" style="92" bestFit="1" customWidth="1"/>
    <col min="4095" max="4095" width="14.85546875" style="92" bestFit="1" customWidth="1"/>
    <col min="4096" max="4096" width="14.7109375" style="92" bestFit="1" customWidth="1"/>
    <col min="4097" max="4097" width="2.7109375" style="92" customWidth="1"/>
    <col min="4098" max="4098" width="15.85546875" style="92" bestFit="1" customWidth="1"/>
    <col min="4099" max="4100" width="14.5703125" style="92" bestFit="1" customWidth="1"/>
    <col min="4101" max="4101" width="2.7109375" style="92" customWidth="1"/>
    <col min="4102" max="4102" width="15.7109375" style="92" bestFit="1" customWidth="1"/>
    <col min="4103" max="4103" width="13.7109375" style="92" bestFit="1" customWidth="1"/>
    <col min="4104" max="4104" width="13.42578125" style="92" bestFit="1" customWidth="1"/>
    <col min="4105" max="4115" width="10.5703125" style="92" bestFit="1" customWidth="1"/>
    <col min="4116" max="4116" width="13.5703125" style="92" customWidth="1"/>
    <col min="4117" max="4117" width="16.5703125" style="92" customWidth="1"/>
    <col min="4118" max="4118" width="14.42578125" style="92" customWidth="1"/>
    <col min="4119" max="4119" width="13.28515625" style="92" bestFit="1" customWidth="1"/>
    <col min="4120" max="4120" width="13.42578125" style="92" bestFit="1" customWidth="1"/>
    <col min="4121" max="4121" width="13" style="92" customWidth="1"/>
    <col min="4122" max="4122" width="11.5703125" style="92" customWidth="1"/>
    <col min="4123" max="4123" width="13.140625" style="92" customWidth="1"/>
    <col min="4124" max="4125" width="11.5703125" style="92" customWidth="1"/>
    <col min="4126" max="4126" width="12.42578125" style="92" customWidth="1"/>
    <col min="4127" max="4127" width="13.5703125" style="92" customWidth="1"/>
    <col min="4128" max="4128" width="13.140625" style="92" bestFit="1" customWidth="1"/>
    <col min="4129" max="4129" width="18.85546875" style="92" customWidth="1"/>
    <col min="4130" max="4131" width="14.140625" style="92" customWidth="1"/>
    <col min="4132" max="4132" width="13.85546875" style="92" customWidth="1"/>
    <col min="4133" max="4133" width="14.140625" style="92" customWidth="1"/>
    <col min="4134" max="4134" width="13.7109375" style="92" customWidth="1"/>
    <col min="4135" max="4135" width="17.140625" style="92" customWidth="1"/>
    <col min="4136" max="4136" width="15.42578125" style="92" customWidth="1"/>
    <col min="4137" max="4137" width="18" style="92" customWidth="1"/>
    <col min="4138" max="4138" width="13.7109375" style="92" bestFit="1" customWidth="1"/>
    <col min="4139" max="4139" width="14.140625" style="92" bestFit="1" customWidth="1"/>
    <col min="4140" max="4140" width="14" style="92" bestFit="1" customWidth="1"/>
    <col min="4141" max="4141" width="14.85546875" style="92" bestFit="1" customWidth="1"/>
    <col min="4142" max="4142" width="15.7109375" style="92" customWidth="1"/>
    <col min="4143" max="4143" width="5.85546875" style="92" customWidth="1"/>
    <col min="4144" max="4144" width="9.28515625" style="92" customWidth="1"/>
    <col min="4145" max="4145" width="14.85546875" style="92" customWidth="1"/>
    <col min="4146" max="4146" width="12.85546875" style="92" bestFit="1" customWidth="1"/>
    <col min="4147" max="4147" width="12.85546875" style="92" customWidth="1"/>
    <col min="4148" max="4165" width="8.85546875" style="92" customWidth="1"/>
    <col min="4166" max="4166" width="30.28515625" style="92" bestFit="1" customWidth="1"/>
    <col min="4167" max="4167" width="20.7109375" style="92" customWidth="1"/>
    <col min="4168" max="4168" width="13.42578125" style="92" customWidth="1"/>
    <col min="4169" max="4169" width="8.85546875" style="92" customWidth="1"/>
    <col min="4170" max="4170" width="11.7109375" style="92" bestFit="1" customWidth="1"/>
    <col min="4171" max="4338" width="8.85546875" style="92" customWidth="1"/>
    <col min="4339" max="4339" width="29.7109375" style="92" customWidth="1"/>
    <col min="4340" max="4342" width="14.28515625" style="92" customWidth="1"/>
    <col min="4343" max="4343" width="2.7109375" style="92" customWidth="1"/>
    <col min="4344" max="4347" width="14.28515625" style="92"/>
    <col min="4348" max="4348" width="9.28515625" style="92" bestFit="1" customWidth="1"/>
    <col min="4349" max="4349" width="48.140625" style="92" customWidth="1"/>
    <col min="4350" max="4350" width="15.85546875" style="92" bestFit="1" customWidth="1"/>
    <col min="4351" max="4351" width="14.85546875" style="92" bestFit="1" customWidth="1"/>
    <col min="4352" max="4352" width="14.7109375" style="92" bestFit="1" customWidth="1"/>
    <col min="4353" max="4353" width="2.7109375" style="92" customWidth="1"/>
    <col min="4354" max="4354" width="15.85546875" style="92" bestFit="1" customWidth="1"/>
    <col min="4355" max="4356" width="14.5703125" style="92" bestFit="1" customWidth="1"/>
    <col min="4357" max="4357" width="2.7109375" style="92" customWidth="1"/>
    <col min="4358" max="4358" width="15.7109375" style="92" bestFit="1" customWidth="1"/>
    <col min="4359" max="4359" width="13.7109375" style="92" bestFit="1" customWidth="1"/>
    <col min="4360" max="4360" width="13.42578125" style="92" bestFit="1" customWidth="1"/>
    <col min="4361" max="4371" width="10.5703125" style="92" bestFit="1" customWidth="1"/>
    <col min="4372" max="4372" width="13.5703125" style="92" customWidth="1"/>
    <col min="4373" max="4373" width="16.5703125" style="92" customWidth="1"/>
    <col min="4374" max="4374" width="14.42578125" style="92" customWidth="1"/>
    <col min="4375" max="4375" width="13.28515625" style="92" bestFit="1" customWidth="1"/>
    <col min="4376" max="4376" width="13.42578125" style="92" bestFit="1" customWidth="1"/>
    <col min="4377" max="4377" width="13" style="92" customWidth="1"/>
    <col min="4378" max="4378" width="11.5703125" style="92" customWidth="1"/>
    <col min="4379" max="4379" width="13.140625" style="92" customWidth="1"/>
    <col min="4380" max="4381" width="11.5703125" style="92" customWidth="1"/>
    <col min="4382" max="4382" width="12.42578125" style="92" customWidth="1"/>
    <col min="4383" max="4383" width="13.5703125" style="92" customWidth="1"/>
    <col min="4384" max="4384" width="13.140625" style="92" bestFit="1" customWidth="1"/>
    <col min="4385" max="4385" width="18.85546875" style="92" customWidth="1"/>
    <col min="4386" max="4387" width="14.140625" style="92" customWidth="1"/>
    <col min="4388" max="4388" width="13.85546875" style="92" customWidth="1"/>
    <col min="4389" max="4389" width="14.140625" style="92" customWidth="1"/>
    <col min="4390" max="4390" width="13.7109375" style="92" customWidth="1"/>
    <col min="4391" max="4391" width="17.140625" style="92" customWidth="1"/>
    <col min="4392" max="4392" width="15.42578125" style="92" customWidth="1"/>
    <col min="4393" max="4393" width="18" style="92" customWidth="1"/>
    <col min="4394" max="4394" width="13.7109375" style="92" bestFit="1" customWidth="1"/>
    <col min="4395" max="4395" width="14.140625" style="92" bestFit="1" customWidth="1"/>
    <col min="4396" max="4396" width="14" style="92" bestFit="1" customWidth="1"/>
    <col min="4397" max="4397" width="14.85546875" style="92" bestFit="1" customWidth="1"/>
    <col min="4398" max="4398" width="15.7109375" style="92" customWidth="1"/>
    <col min="4399" max="4399" width="5.85546875" style="92" customWidth="1"/>
    <col min="4400" max="4400" width="9.28515625" style="92" customWidth="1"/>
    <col min="4401" max="4401" width="14.85546875" style="92" customWidth="1"/>
    <col min="4402" max="4402" width="12.85546875" style="92" bestFit="1" customWidth="1"/>
    <col min="4403" max="4403" width="12.85546875" style="92" customWidth="1"/>
    <col min="4404" max="4421" width="8.85546875" style="92" customWidth="1"/>
    <col min="4422" max="4422" width="30.28515625" style="92" bestFit="1" customWidth="1"/>
    <col min="4423" max="4423" width="20.7109375" style="92" customWidth="1"/>
    <col min="4424" max="4424" width="13.42578125" style="92" customWidth="1"/>
    <col min="4425" max="4425" width="8.85546875" style="92" customWidth="1"/>
    <col min="4426" max="4426" width="11.7109375" style="92" bestFit="1" customWidth="1"/>
    <col min="4427" max="4594" width="8.85546875" style="92" customWidth="1"/>
    <col min="4595" max="4595" width="29.7109375" style="92" customWidth="1"/>
    <col min="4596" max="4598" width="14.28515625" style="92" customWidth="1"/>
    <col min="4599" max="4599" width="2.7109375" style="92" customWidth="1"/>
    <col min="4600" max="4603" width="14.28515625" style="92"/>
    <col min="4604" max="4604" width="9.28515625" style="92" bestFit="1" customWidth="1"/>
    <col min="4605" max="4605" width="48.140625" style="92" customWidth="1"/>
    <col min="4606" max="4606" width="15.85546875" style="92" bestFit="1" customWidth="1"/>
    <col min="4607" max="4607" width="14.85546875" style="92" bestFit="1" customWidth="1"/>
    <col min="4608" max="4608" width="14.7109375" style="92" bestFit="1" customWidth="1"/>
    <col min="4609" max="4609" width="2.7109375" style="92" customWidth="1"/>
    <col min="4610" max="4610" width="15.85546875" style="92" bestFit="1" customWidth="1"/>
    <col min="4611" max="4612" width="14.5703125" style="92" bestFit="1" customWidth="1"/>
    <col min="4613" max="4613" width="2.7109375" style="92" customWidth="1"/>
    <col min="4614" max="4614" width="15.7109375" style="92" bestFit="1" customWidth="1"/>
    <col min="4615" max="4615" width="13.7109375" style="92" bestFit="1" customWidth="1"/>
    <col min="4616" max="4616" width="13.42578125" style="92" bestFit="1" customWidth="1"/>
    <col min="4617" max="4627" width="10.5703125" style="92" bestFit="1" customWidth="1"/>
    <col min="4628" max="4628" width="13.5703125" style="92" customWidth="1"/>
    <col min="4629" max="4629" width="16.5703125" style="92" customWidth="1"/>
    <col min="4630" max="4630" width="14.42578125" style="92" customWidth="1"/>
    <col min="4631" max="4631" width="13.28515625" style="92" bestFit="1" customWidth="1"/>
    <col min="4632" max="4632" width="13.42578125" style="92" bestFit="1" customWidth="1"/>
    <col min="4633" max="4633" width="13" style="92" customWidth="1"/>
    <col min="4634" max="4634" width="11.5703125" style="92" customWidth="1"/>
    <col min="4635" max="4635" width="13.140625" style="92" customWidth="1"/>
    <col min="4636" max="4637" width="11.5703125" style="92" customWidth="1"/>
    <col min="4638" max="4638" width="12.42578125" style="92" customWidth="1"/>
    <col min="4639" max="4639" width="13.5703125" style="92" customWidth="1"/>
    <col min="4640" max="4640" width="13.140625" style="92" bestFit="1" customWidth="1"/>
    <col min="4641" max="4641" width="18.85546875" style="92" customWidth="1"/>
    <col min="4642" max="4643" width="14.140625" style="92" customWidth="1"/>
    <col min="4644" max="4644" width="13.85546875" style="92" customWidth="1"/>
    <col min="4645" max="4645" width="14.140625" style="92" customWidth="1"/>
    <col min="4646" max="4646" width="13.7109375" style="92" customWidth="1"/>
    <col min="4647" max="4647" width="17.140625" style="92" customWidth="1"/>
    <col min="4648" max="4648" width="15.42578125" style="92" customWidth="1"/>
    <col min="4649" max="4649" width="18" style="92" customWidth="1"/>
    <col min="4650" max="4650" width="13.7109375" style="92" bestFit="1" customWidth="1"/>
    <col min="4651" max="4651" width="14.140625" style="92" bestFit="1" customWidth="1"/>
    <col min="4652" max="4652" width="14" style="92" bestFit="1" customWidth="1"/>
    <col min="4653" max="4653" width="14.85546875" style="92" bestFit="1" customWidth="1"/>
    <col min="4654" max="4654" width="15.7109375" style="92" customWidth="1"/>
    <col min="4655" max="4655" width="5.85546875" style="92" customWidth="1"/>
    <col min="4656" max="4656" width="9.28515625" style="92" customWidth="1"/>
    <col min="4657" max="4657" width="14.85546875" style="92" customWidth="1"/>
    <col min="4658" max="4658" width="12.85546875" style="92" bestFit="1" customWidth="1"/>
    <col min="4659" max="4659" width="12.85546875" style="92" customWidth="1"/>
    <col min="4660" max="4677" width="8.85546875" style="92" customWidth="1"/>
    <col min="4678" max="4678" width="30.28515625" style="92" bestFit="1" customWidth="1"/>
    <col min="4679" max="4679" width="20.7109375" style="92" customWidth="1"/>
    <col min="4680" max="4680" width="13.42578125" style="92" customWidth="1"/>
    <col min="4681" max="4681" width="8.85546875" style="92" customWidth="1"/>
    <col min="4682" max="4682" width="11.7109375" style="92" bestFit="1" customWidth="1"/>
    <col min="4683" max="4850" width="8.85546875" style="92" customWidth="1"/>
    <col min="4851" max="4851" width="29.7109375" style="92" customWidth="1"/>
    <col min="4852" max="4854" width="14.28515625" style="92" customWidth="1"/>
    <col min="4855" max="4855" width="2.7109375" style="92" customWidth="1"/>
    <col min="4856" max="4859" width="14.28515625" style="92"/>
    <col min="4860" max="4860" width="9.28515625" style="92" bestFit="1" customWidth="1"/>
    <col min="4861" max="4861" width="48.140625" style="92" customWidth="1"/>
    <col min="4862" max="4862" width="15.85546875" style="92" bestFit="1" customWidth="1"/>
    <col min="4863" max="4863" width="14.85546875" style="92" bestFit="1" customWidth="1"/>
    <col min="4864" max="4864" width="14.7109375" style="92" bestFit="1" customWidth="1"/>
    <col min="4865" max="4865" width="2.7109375" style="92" customWidth="1"/>
    <col min="4866" max="4866" width="15.85546875" style="92" bestFit="1" customWidth="1"/>
    <col min="4867" max="4868" width="14.5703125" style="92" bestFit="1" customWidth="1"/>
    <col min="4869" max="4869" width="2.7109375" style="92" customWidth="1"/>
    <col min="4870" max="4870" width="15.7109375" style="92" bestFit="1" customWidth="1"/>
    <col min="4871" max="4871" width="13.7109375" style="92" bestFit="1" customWidth="1"/>
    <col min="4872" max="4872" width="13.42578125" style="92" bestFit="1" customWidth="1"/>
    <col min="4873" max="4883" width="10.5703125" style="92" bestFit="1" customWidth="1"/>
    <col min="4884" max="4884" width="13.5703125" style="92" customWidth="1"/>
    <col min="4885" max="4885" width="16.5703125" style="92" customWidth="1"/>
    <col min="4886" max="4886" width="14.42578125" style="92" customWidth="1"/>
    <col min="4887" max="4887" width="13.28515625" style="92" bestFit="1" customWidth="1"/>
    <col min="4888" max="4888" width="13.42578125" style="92" bestFit="1" customWidth="1"/>
    <col min="4889" max="4889" width="13" style="92" customWidth="1"/>
    <col min="4890" max="4890" width="11.5703125" style="92" customWidth="1"/>
    <col min="4891" max="4891" width="13.140625" style="92" customWidth="1"/>
    <col min="4892" max="4893" width="11.5703125" style="92" customWidth="1"/>
    <col min="4894" max="4894" width="12.42578125" style="92" customWidth="1"/>
    <col min="4895" max="4895" width="13.5703125" style="92" customWidth="1"/>
    <col min="4896" max="4896" width="13.140625" style="92" bestFit="1" customWidth="1"/>
    <col min="4897" max="4897" width="18.85546875" style="92" customWidth="1"/>
    <col min="4898" max="4899" width="14.140625" style="92" customWidth="1"/>
    <col min="4900" max="4900" width="13.85546875" style="92" customWidth="1"/>
    <col min="4901" max="4901" width="14.140625" style="92" customWidth="1"/>
    <col min="4902" max="4902" width="13.7109375" style="92" customWidth="1"/>
    <col min="4903" max="4903" width="17.140625" style="92" customWidth="1"/>
    <col min="4904" max="4904" width="15.42578125" style="92" customWidth="1"/>
    <col min="4905" max="4905" width="18" style="92" customWidth="1"/>
    <col min="4906" max="4906" width="13.7109375" style="92" bestFit="1" customWidth="1"/>
    <col min="4907" max="4907" width="14.140625" style="92" bestFit="1" customWidth="1"/>
    <col min="4908" max="4908" width="14" style="92" bestFit="1" customWidth="1"/>
    <col min="4909" max="4909" width="14.85546875" style="92" bestFit="1" customWidth="1"/>
    <col min="4910" max="4910" width="15.7109375" style="92" customWidth="1"/>
    <col min="4911" max="4911" width="5.85546875" style="92" customWidth="1"/>
    <col min="4912" max="4912" width="9.28515625" style="92" customWidth="1"/>
    <col min="4913" max="4913" width="14.85546875" style="92" customWidth="1"/>
    <col min="4914" max="4914" width="12.85546875" style="92" bestFit="1" customWidth="1"/>
    <col min="4915" max="4915" width="12.85546875" style="92" customWidth="1"/>
    <col min="4916" max="4933" width="8.85546875" style="92" customWidth="1"/>
    <col min="4934" max="4934" width="30.28515625" style="92" bestFit="1" customWidth="1"/>
    <col min="4935" max="4935" width="20.7109375" style="92" customWidth="1"/>
    <col min="4936" max="4936" width="13.42578125" style="92" customWidth="1"/>
    <col min="4937" max="4937" width="8.85546875" style="92" customWidth="1"/>
    <col min="4938" max="4938" width="11.7109375" style="92" bestFit="1" customWidth="1"/>
    <col min="4939" max="5106" width="8.85546875" style="92" customWidth="1"/>
    <col min="5107" max="5107" width="29.7109375" style="92" customWidth="1"/>
    <col min="5108" max="5110" width="14.28515625" style="92" customWidth="1"/>
    <col min="5111" max="5111" width="2.7109375" style="92" customWidth="1"/>
    <col min="5112" max="5115" width="14.28515625" style="92"/>
    <col min="5116" max="5116" width="9.28515625" style="92" bestFit="1" customWidth="1"/>
    <col min="5117" max="5117" width="48.140625" style="92" customWidth="1"/>
    <col min="5118" max="5118" width="15.85546875" style="92" bestFit="1" customWidth="1"/>
    <col min="5119" max="5119" width="14.85546875" style="92" bestFit="1" customWidth="1"/>
    <col min="5120" max="5120" width="14.7109375" style="92" bestFit="1" customWidth="1"/>
    <col min="5121" max="5121" width="2.7109375" style="92" customWidth="1"/>
    <col min="5122" max="5122" width="15.85546875" style="92" bestFit="1" customWidth="1"/>
    <col min="5123" max="5124" width="14.5703125" style="92" bestFit="1" customWidth="1"/>
    <col min="5125" max="5125" width="2.7109375" style="92" customWidth="1"/>
    <col min="5126" max="5126" width="15.7109375" style="92" bestFit="1" customWidth="1"/>
    <col min="5127" max="5127" width="13.7109375" style="92" bestFit="1" customWidth="1"/>
    <col min="5128" max="5128" width="13.42578125" style="92" bestFit="1" customWidth="1"/>
    <col min="5129" max="5139" width="10.5703125" style="92" bestFit="1" customWidth="1"/>
    <col min="5140" max="5140" width="13.5703125" style="92" customWidth="1"/>
    <col min="5141" max="5141" width="16.5703125" style="92" customWidth="1"/>
    <col min="5142" max="5142" width="14.42578125" style="92" customWidth="1"/>
    <col min="5143" max="5143" width="13.28515625" style="92" bestFit="1" customWidth="1"/>
    <col min="5144" max="5144" width="13.42578125" style="92" bestFit="1" customWidth="1"/>
    <col min="5145" max="5145" width="13" style="92" customWidth="1"/>
    <col min="5146" max="5146" width="11.5703125" style="92" customWidth="1"/>
    <col min="5147" max="5147" width="13.140625" style="92" customWidth="1"/>
    <col min="5148" max="5149" width="11.5703125" style="92" customWidth="1"/>
    <col min="5150" max="5150" width="12.42578125" style="92" customWidth="1"/>
    <col min="5151" max="5151" width="13.5703125" style="92" customWidth="1"/>
    <col min="5152" max="5152" width="13.140625" style="92" bestFit="1" customWidth="1"/>
    <col min="5153" max="5153" width="18.85546875" style="92" customWidth="1"/>
    <col min="5154" max="5155" width="14.140625" style="92" customWidth="1"/>
    <col min="5156" max="5156" width="13.85546875" style="92" customWidth="1"/>
    <col min="5157" max="5157" width="14.140625" style="92" customWidth="1"/>
    <col min="5158" max="5158" width="13.7109375" style="92" customWidth="1"/>
    <col min="5159" max="5159" width="17.140625" style="92" customWidth="1"/>
    <col min="5160" max="5160" width="15.42578125" style="92" customWidth="1"/>
    <col min="5161" max="5161" width="18" style="92" customWidth="1"/>
    <col min="5162" max="5162" width="13.7109375" style="92" bestFit="1" customWidth="1"/>
    <col min="5163" max="5163" width="14.140625" style="92" bestFit="1" customWidth="1"/>
    <col min="5164" max="5164" width="14" style="92" bestFit="1" customWidth="1"/>
    <col min="5165" max="5165" width="14.85546875" style="92" bestFit="1" customWidth="1"/>
    <col min="5166" max="5166" width="15.7109375" style="92" customWidth="1"/>
    <col min="5167" max="5167" width="5.85546875" style="92" customWidth="1"/>
    <col min="5168" max="5168" width="9.28515625" style="92" customWidth="1"/>
    <col min="5169" max="5169" width="14.85546875" style="92" customWidth="1"/>
    <col min="5170" max="5170" width="12.85546875" style="92" bestFit="1" customWidth="1"/>
    <col min="5171" max="5171" width="12.85546875" style="92" customWidth="1"/>
    <col min="5172" max="5189" width="8.85546875" style="92" customWidth="1"/>
    <col min="5190" max="5190" width="30.28515625" style="92" bestFit="1" customWidth="1"/>
    <col min="5191" max="5191" width="20.7109375" style="92" customWidth="1"/>
    <col min="5192" max="5192" width="13.42578125" style="92" customWidth="1"/>
    <col min="5193" max="5193" width="8.85546875" style="92" customWidth="1"/>
    <col min="5194" max="5194" width="11.7109375" style="92" bestFit="1" customWidth="1"/>
    <col min="5195" max="5362" width="8.85546875" style="92" customWidth="1"/>
    <col min="5363" max="5363" width="29.7109375" style="92" customWidth="1"/>
    <col min="5364" max="5366" width="14.28515625" style="92" customWidth="1"/>
    <col min="5367" max="5367" width="2.7109375" style="92" customWidth="1"/>
    <col min="5368" max="5371" width="14.28515625" style="92"/>
    <col min="5372" max="5372" width="9.28515625" style="92" bestFit="1" customWidth="1"/>
    <col min="5373" max="5373" width="48.140625" style="92" customWidth="1"/>
    <col min="5374" max="5374" width="15.85546875" style="92" bestFit="1" customWidth="1"/>
    <col min="5375" max="5375" width="14.85546875" style="92" bestFit="1" customWidth="1"/>
    <col min="5376" max="5376" width="14.7109375" style="92" bestFit="1" customWidth="1"/>
    <col min="5377" max="5377" width="2.7109375" style="92" customWidth="1"/>
    <col min="5378" max="5378" width="15.85546875" style="92" bestFit="1" customWidth="1"/>
    <col min="5379" max="5380" width="14.5703125" style="92" bestFit="1" customWidth="1"/>
    <col min="5381" max="5381" width="2.7109375" style="92" customWidth="1"/>
    <col min="5382" max="5382" width="15.7109375" style="92" bestFit="1" customWidth="1"/>
    <col min="5383" max="5383" width="13.7109375" style="92" bestFit="1" customWidth="1"/>
    <col min="5384" max="5384" width="13.42578125" style="92" bestFit="1" customWidth="1"/>
    <col min="5385" max="5395" width="10.5703125" style="92" bestFit="1" customWidth="1"/>
    <col min="5396" max="5396" width="13.5703125" style="92" customWidth="1"/>
    <col min="5397" max="5397" width="16.5703125" style="92" customWidth="1"/>
    <col min="5398" max="5398" width="14.42578125" style="92" customWidth="1"/>
    <col min="5399" max="5399" width="13.28515625" style="92" bestFit="1" customWidth="1"/>
    <col min="5400" max="5400" width="13.42578125" style="92" bestFit="1" customWidth="1"/>
    <col min="5401" max="5401" width="13" style="92" customWidth="1"/>
    <col min="5402" max="5402" width="11.5703125" style="92" customWidth="1"/>
    <col min="5403" max="5403" width="13.140625" style="92" customWidth="1"/>
    <col min="5404" max="5405" width="11.5703125" style="92" customWidth="1"/>
    <col min="5406" max="5406" width="12.42578125" style="92" customWidth="1"/>
    <col min="5407" max="5407" width="13.5703125" style="92" customWidth="1"/>
    <col min="5408" max="5408" width="13.140625" style="92" bestFit="1" customWidth="1"/>
    <col min="5409" max="5409" width="18.85546875" style="92" customWidth="1"/>
    <col min="5410" max="5411" width="14.140625" style="92" customWidth="1"/>
    <col min="5412" max="5412" width="13.85546875" style="92" customWidth="1"/>
    <col min="5413" max="5413" width="14.140625" style="92" customWidth="1"/>
    <col min="5414" max="5414" width="13.7109375" style="92" customWidth="1"/>
    <col min="5415" max="5415" width="17.140625" style="92" customWidth="1"/>
    <col min="5416" max="5416" width="15.42578125" style="92" customWidth="1"/>
    <col min="5417" max="5417" width="18" style="92" customWidth="1"/>
    <col min="5418" max="5418" width="13.7109375" style="92" bestFit="1" customWidth="1"/>
    <col min="5419" max="5419" width="14.140625" style="92" bestFit="1" customWidth="1"/>
    <col min="5420" max="5420" width="14" style="92" bestFit="1" customWidth="1"/>
    <col min="5421" max="5421" width="14.85546875" style="92" bestFit="1" customWidth="1"/>
    <col min="5422" max="5422" width="15.7109375" style="92" customWidth="1"/>
    <col min="5423" max="5423" width="5.85546875" style="92" customWidth="1"/>
    <col min="5424" max="5424" width="9.28515625" style="92" customWidth="1"/>
    <col min="5425" max="5425" width="14.85546875" style="92" customWidth="1"/>
    <col min="5426" max="5426" width="12.85546875" style="92" bestFit="1" customWidth="1"/>
    <col min="5427" max="5427" width="12.85546875" style="92" customWidth="1"/>
    <col min="5428" max="5445" width="8.85546875" style="92" customWidth="1"/>
    <col min="5446" max="5446" width="30.28515625" style="92" bestFit="1" customWidth="1"/>
    <col min="5447" max="5447" width="20.7109375" style="92" customWidth="1"/>
    <col min="5448" max="5448" width="13.42578125" style="92" customWidth="1"/>
    <col min="5449" max="5449" width="8.85546875" style="92" customWidth="1"/>
    <col min="5450" max="5450" width="11.7109375" style="92" bestFit="1" customWidth="1"/>
    <col min="5451" max="5618" width="8.85546875" style="92" customWidth="1"/>
    <col min="5619" max="5619" width="29.7109375" style="92" customWidth="1"/>
    <col min="5620" max="5622" width="14.28515625" style="92" customWidth="1"/>
    <col min="5623" max="5623" width="2.7109375" style="92" customWidth="1"/>
    <col min="5624" max="5627" width="14.28515625" style="92"/>
    <col min="5628" max="5628" width="9.28515625" style="92" bestFit="1" customWidth="1"/>
    <col min="5629" max="5629" width="48.140625" style="92" customWidth="1"/>
    <col min="5630" max="5630" width="15.85546875" style="92" bestFit="1" customWidth="1"/>
    <col min="5631" max="5631" width="14.85546875" style="92" bestFit="1" customWidth="1"/>
    <col min="5632" max="5632" width="14.7109375" style="92" bestFit="1" customWidth="1"/>
    <col min="5633" max="5633" width="2.7109375" style="92" customWidth="1"/>
    <col min="5634" max="5634" width="15.85546875" style="92" bestFit="1" customWidth="1"/>
    <col min="5635" max="5636" width="14.5703125" style="92" bestFit="1" customWidth="1"/>
    <col min="5637" max="5637" width="2.7109375" style="92" customWidth="1"/>
    <col min="5638" max="5638" width="15.7109375" style="92" bestFit="1" customWidth="1"/>
    <col min="5639" max="5639" width="13.7109375" style="92" bestFit="1" customWidth="1"/>
    <col min="5640" max="5640" width="13.42578125" style="92" bestFit="1" customWidth="1"/>
    <col min="5641" max="5651" width="10.5703125" style="92" bestFit="1" customWidth="1"/>
    <col min="5652" max="5652" width="13.5703125" style="92" customWidth="1"/>
    <col min="5653" max="5653" width="16.5703125" style="92" customWidth="1"/>
    <col min="5654" max="5654" width="14.42578125" style="92" customWidth="1"/>
    <col min="5655" max="5655" width="13.28515625" style="92" bestFit="1" customWidth="1"/>
    <col min="5656" max="5656" width="13.42578125" style="92" bestFit="1" customWidth="1"/>
    <col min="5657" max="5657" width="13" style="92" customWidth="1"/>
    <col min="5658" max="5658" width="11.5703125" style="92" customWidth="1"/>
    <col min="5659" max="5659" width="13.140625" style="92" customWidth="1"/>
    <col min="5660" max="5661" width="11.5703125" style="92" customWidth="1"/>
    <col min="5662" max="5662" width="12.42578125" style="92" customWidth="1"/>
    <col min="5663" max="5663" width="13.5703125" style="92" customWidth="1"/>
    <col min="5664" max="5664" width="13.140625" style="92" bestFit="1" customWidth="1"/>
    <col min="5665" max="5665" width="18.85546875" style="92" customWidth="1"/>
    <col min="5666" max="5667" width="14.140625" style="92" customWidth="1"/>
    <col min="5668" max="5668" width="13.85546875" style="92" customWidth="1"/>
    <col min="5669" max="5669" width="14.140625" style="92" customWidth="1"/>
    <col min="5670" max="5670" width="13.7109375" style="92" customWidth="1"/>
    <col min="5671" max="5671" width="17.140625" style="92" customWidth="1"/>
    <col min="5672" max="5672" width="15.42578125" style="92" customWidth="1"/>
    <col min="5673" max="5673" width="18" style="92" customWidth="1"/>
    <col min="5674" max="5674" width="13.7109375" style="92" bestFit="1" customWidth="1"/>
    <col min="5675" max="5675" width="14.140625" style="92" bestFit="1" customWidth="1"/>
    <col min="5676" max="5676" width="14" style="92" bestFit="1" customWidth="1"/>
    <col min="5677" max="5677" width="14.85546875" style="92" bestFit="1" customWidth="1"/>
    <col min="5678" max="5678" width="15.7109375" style="92" customWidth="1"/>
    <col min="5679" max="5679" width="5.85546875" style="92" customWidth="1"/>
    <col min="5680" max="5680" width="9.28515625" style="92" customWidth="1"/>
    <col min="5681" max="5681" width="14.85546875" style="92" customWidth="1"/>
    <col min="5682" max="5682" width="12.85546875" style="92" bestFit="1" customWidth="1"/>
    <col min="5683" max="5683" width="12.85546875" style="92" customWidth="1"/>
    <col min="5684" max="5701" width="8.85546875" style="92" customWidth="1"/>
    <col min="5702" max="5702" width="30.28515625" style="92" bestFit="1" customWidth="1"/>
    <col min="5703" max="5703" width="20.7109375" style="92" customWidth="1"/>
    <col min="5704" max="5704" width="13.42578125" style="92" customWidth="1"/>
    <col min="5705" max="5705" width="8.85546875" style="92" customWidth="1"/>
    <col min="5706" max="5706" width="11.7109375" style="92" bestFit="1" customWidth="1"/>
    <col min="5707" max="5874" width="8.85546875" style="92" customWidth="1"/>
    <col min="5875" max="5875" width="29.7109375" style="92" customWidth="1"/>
    <col min="5876" max="5878" width="14.28515625" style="92" customWidth="1"/>
    <col min="5879" max="5879" width="2.7109375" style="92" customWidth="1"/>
    <col min="5880" max="5883" width="14.28515625" style="92"/>
    <col min="5884" max="5884" width="9.28515625" style="92" bestFit="1" customWidth="1"/>
    <col min="5885" max="5885" width="48.140625" style="92" customWidth="1"/>
    <col min="5886" max="5886" width="15.85546875" style="92" bestFit="1" customWidth="1"/>
    <col min="5887" max="5887" width="14.85546875" style="92" bestFit="1" customWidth="1"/>
    <col min="5888" max="5888" width="14.7109375" style="92" bestFit="1" customWidth="1"/>
    <col min="5889" max="5889" width="2.7109375" style="92" customWidth="1"/>
    <col min="5890" max="5890" width="15.85546875" style="92" bestFit="1" customWidth="1"/>
    <col min="5891" max="5892" width="14.5703125" style="92" bestFit="1" customWidth="1"/>
    <col min="5893" max="5893" width="2.7109375" style="92" customWidth="1"/>
    <col min="5894" max="5894" width="15.7109375" style="92" bestFit="1" customWidth="1"/>
    <col min="5895" max="5895" width="13.7109375" style="92" bestFit="1" customWidth="1"/>
    <col min="5896" max="5896" width="13.42578125" style="92" bestFit="1" customWidth="1"/>
    <col min="5897" max="5907" width="10.5703125" style="92" bestFit="1" customWidth="1"/>
    <col min="5908" max="5908" width="13.5703125" style="92" customWidth="1"/>
    <col min="5909" max="5909" width="16.5703125" style="92" customWidth="1"/>
    <col min="5910" max="5910" width="14.42578125" style="92" customWidth="1"/>
    <col min="5911" max="5911" width="13.28515625" style="92" bestFit="1" customWidth="1"/>
    <col min="5912" max="5912" width="13.42578125" style="92" bestFit="1" customWidth="1"/>
    <col min="5913" max="5913" width="13" style="92" customWidth="1"/>
    <col min="5914" max="5914" width="11.5703125" style="92" customWidth="1"/>
    <col min="5915" max="5915" width="13.140625" style="92" customWidth="1"/>
    <col min="5916" max="5917" width="11.5703125" style="92" customWidth="1"/>
    <col min="5918" max="5918" width="12.42578125" style="92" customWidth="1"/>
    <col min="5919" max="5919" width="13.5703125" style="92" customWidth="1"/>
    <col min="5920" max="5920" width="13.140625" style="92" bestFit="1" customWidth="1"/>
    <col min="5921" max="5921" width="18.85546875" style="92" customWidth="1"/>
    <col min="5922" max="5923" width="14.140625" style="92" customWidth="1"/>
    <col min="5924" max="5924" width="13.85546875" style="92" customWidth="1"/>
    <col min="5925" max="5925" width="14.140625" style="92" customWidth="1"/>
    <col min="5926" max="5926" width="13.7109375" style="92" customWidth="1"/>
    <col min="5927" max="5927" width="17.140625" style="92" customWidth="1"/>
    <col min="5928" max="5928" width="15.42578125" style="92" customWidth="1"/>
    <col min="5929" max="5929" width="18" style="92" customWidth="1"/>
    <col min="5930" max="5930" width="13.7109375" style="92" bestFit="1" customWidth="1"/>
    <col min="5931" max="5931" width="14.140625" style="92" bestFit="1" customWidth="1"/>
    <col min="5932" max="5932" width="14" style="92" bestFit="1" customWidth="1"/>
    <col min="5933" max="5933" width="14.85546875" style="92" bestFit="1" customWidth="1"/>
    <col min="5934" max="5934" width="15.7109375" style="92" customWidth="1"/>
    <col min="5935" max="5935" width="5.85546875" style="92" customWidth="1"/>
    <col min="5936" max="5936" width="9.28515625" style="92" customWidth="1"/>
    <col min="5937" max="5937" width="14.85546875" style="92" customWidth="1"/>
    <col min="5938" max="5938" width="12.85546875" style="92" bestFit="1" customWidth="1"/>
    <col min="5939" max="5939" width="12.85546875" style="92" customWidth="1"/>
    <col min="5940" max="5957" width="8.85546875" style="92" customWidth="1"/>
    <col min="5958" max="5958" width="30.28515625" style="92" bestFit="1" customWidth="1"/>
    <col min="5959" max="5959" width="20.7109375" style="92" customWidth="1"/>
    <col min="5960" max="5960" width="13.42578125" style="92" customWidth="1"/>
    <col min="5961" max="5961" width="8.85546875" style="92" customWidth="1"/>
    <col min="5962" max="5962" width="11.7109375" style="92" bestFit="1" customWidth="1"/>
    <col min="5963" max="6130" width="8.85546875" style="92" customWidth="1"/>
    <col min="6131" max="6131" width="29.7109375" style="92" customWidth="1"/>
    <col min="6132" max="6134" width="14.28515625" style="92" customWidth="1"/>
    <col min="6135" max="6135" width="2.7109375" style="92" customWidth="1"/>
    <col min="6136" max="6139" width="14.28515625" style="92"/>
    <col min="6140" max="6140" width="9.28515625" style="92" bestFit="1" customWidth="1"/>
    <col min="6141" max="6141" width="48.140625" style="92" customWidth="1"/>
    <col min="6142" max="6142" width="15.85546875" style="92" bestFit="1" customWidth="1"/>
    <col min="6143" max="6143" width="14.85546875" style="92" bestFit="1" customWidth="1"/>
    <col min="6144" max="6144" width="14.7109375" style="92" bestFit="1" customWidth="1"/>
    <col min="6145" max="6145" width="2.7109375" style="92" customWidth="1"/>
    <col min="6146" max="6146" width="15.85546875" style="92" bestFit="1" customWidth="1"/>
    <col min="6147" max="6148" width="14.5703125" style="92" bestFit="1" customWidth="1"/>
    <col min="6149" max="6149" width="2.7109375" style="92" customWidth="1"/>
    <col min="6150" max="6150" width="15.7109375" style="92" bestFit="1" customWidth="1"/>
    <col min="6151" max="6151" width="13.7109375" style="92" bestFit="1" customWidth="1"/>
    <col min="6152" max="6152" width="13.42578125" style="92" bestFit="1" customWidth="1"/>
    <col min="6153" max="6163" width="10.5703125" style="92" bestFit="1" customWidth="1"/>
    <col min="6164" max="6164" width="13.5703125" style="92" customWidth="1"/>
    <col min="6165" max="6165" width="16.5703125" style="92" customWidth="1"/>
    <col min="6166" max="6166" width="14.42578125" style="92" customWidth="1"/>
    <col min="6167" max="6167" width="13.28515625" style="92" bestFit="1" customWidth="1"/>
    <col min="6168" max="6168" width="13.42578125" style="92" bestFit="1" customWidth="1"/>
    <col min="6169" max="6169" width="13" style="92" customWidth="1"/>
    <col min="6170" max="6170" width="11.5703125" style="92" customWidth="1"/>
    <col min="6171" max="6171" width="13.140625" style="92" customWidth="1"/>
    <col min="6172" max="6173" width="11.5703125" style="92" customWidth="1"/>
    <col min="6174" max="6174" width="12.42578125" style="92" customWidth="1"/>
    <col min="6175" max="6175" width="13.5703125" style="92" customWidth="1"/>
    <col min="6176" max="6176" width="13.140625" style="92" bestFit="1" customWidth="1"/>
    <col min="6177" max="6177" width="18.85546875" style="92" customWidth="1"/>
    <col min="6178" max="6179" width="14.140625" style="92" customWidth="1"/>
    <col min="6180" max="6180" width="13.85546875" style="92" customWidth="1"/>
    <col min="6181" max="6181" width="14.140625" style="92" customWidth="1"/>
    <col min="6182" max="6182" width="13.7109375" style="92" customWidth="1"/>
    <col min="6183" max="6183" width="17.140625" style="92" customWidth="1"/>
    <col min="6184" max="6184" width="15.42578125" style="92" customWidth="1"/>
    <col min="6185" max="6185" width="18" style="92" customWidth="1"/>
    <col min="6186" max="6186" width="13.7109375" style="92" bestFit="1" customWidth="1"/>
    <col min="6187" max="6187" width="14.140625" style="92" bestFit="1" customWidth="1"/>
    <col min="6188" max="6188" width="14" style="92" bestFit="1" customWidth="1"/>
    <col min="6189" max="6189" width="14.85546875" style="92" bestFit="1" customWidth="1"/>
    <col min="6190" max="6190" width="15.7109375" style="92" customWidth="1"/>
    <col min="6191" max="6191" width="5.85546875" style="92" customWidth="1"/>
    <col min="6192" max="6192" width="9.28515625" style="92" customWidth="1"/>
    <col min="6193" max="6193" width="14.85546875" style="92" customWidth="1"/>
    <col min="6194" max="6194" width="12.85546875" style="92" bestFit="1" customWidth="1"/>
    <col min="6195" max="6195" width="12.85546875" style="92" customWidth="1"/>
    <col min="6196" max="6213" width="8.85546875" style="92" customWidth="1"/>
    <col min="6214" max="6214" width="30.28515625" style="92" bestFit="1" customWidth="1"/>
    <col min="6215" max="6215" width="20.7109375" style="92" customWidth="1"/>
    <col min="6216" max="6216" width="13.42578125" style="92" customWidth="1"/>
    <col min="6217" max="6217" width="8.85546875" style="92" customWidth="1"/>
    <col min="6218" max="6218" width="11.7109375" style="92" bestFit="1" customWidth="1"/>
    <col min="6219" max="6386" width="8.85546875" style="92" customWidth="1"/>
    <col min="6387" max="6387" width="29.7109375" style="92" customWidth="1"/>
    <col min="6388" max="6390" width="14.28515625" style="92" customWidth="1"/>
    <col min="6391" max="6391" width="2.7109375" style="92" customWidth="1"/>
    <col min="6392" max="6395" width="14.28515625" style="92"/>
    <col min="6396" max="6396" width="9.28515625" style="92" bestFit="1" customWidth="1"/>
    <col min="6397" max="6397" width="48.140625" style="92" customWidth="1"/>
    <col min="6398" max="6398" width="15.85546875" style="92" bestFit="1" customWidth="1"/>
    <col min="6399" max="6399" width="14.85546875" style="92" bestFit="1" customWidth="1"/>
    <col min="6400" max="6400" width="14.7109375" style="92" bestFit="1" customWidth="1"/>
    <col min="6401" max="6401" width="2.7109375" style="92" customWidth="1"/>
    <col min="6402" max="6402" width="15.85546875" style="92" bestFit="1" customWidth="1"/>
    <col min="6403" max="6404" width="14.5703125" style="92" bestFit="1" customWidth="1"/>
    <col min="6405" max="6405" width="2.7109375" style="92" customWidth="1"/>
    <col min="6406" max="6406" width="15.7109375" style="92" bestFit="1" customWidth="1"/>
    <col min="6407" max="6407" width="13.7109375" style="92" bestFit="1" customWidth="1"/>
    <col min="6408" max="6408" width="13.42578125" style="92" bestFit="1" customWidth="1"/>
    <col min="6409" max="6419" width="10.5703125" style="92" bestFit="1" customWidth="1"/>
    <col min="6420" max="6420" width="13.5703125" style="92" customWidth="1"/>
    <col min="6421" max="6421" width="16.5703125" style="92" customWidth="1"/>
    <col min="6422" max="6422" width="14.42578125" style="92" customWidth="1"/>
    <col min="6423" max="6423" width="13.28515625" style="92" bestFit="1" customWidth="1"/>
    <col min="6424" max="6424" width="13.42578125" style="92" bestFit="1" customWidth="1"/>
    <col min="6425" max="6425" width="13" style="92" customWidth="1"/>
    <col min="6426" max="6426" width="11.5703125" style="92" customWidth="1"/>
    <col min="6427" max="6427" width="13.140625" style="92" customWidth="1"/>
    <col min="6428" max="6429" width="11.5703125" style="92" customWidth="1"/>
    <col min="6430" max="6430" width="12.42578125" style="92" customWidth="1"/>
    <col min="6431" max="6431" width="13.5703125" style="92" customWidth="1"/>
    <col min="6432" max="6432" width="13.140625" style="92" bestFit="1" customWidth="1"/>
    <col min="6433" max="6433" width="18.85546875" style="92" customWidth="1"/>
    <col min="6434" max="6435" width="14.140625" style="92" customWidth="1"/>
    <col min="6436" max="6436" width="13.85546875" style="92" customWidth="1"/>
    <col min="6437" max="6437" width="14.140625" style="92" customWidth="1"/>
    <col min="6438" max="6438" width="13.7109375" style="92" customWidth="1"/>
    <col min="6439" max="6439" width="17.140625" style="92" customWidth="1"/>
    <col min="6440" max="6440" width="15.42578125" style="92" customWidth="1"/>
    <col min="6441" max="6441" width="18" style="92" customWidth="1"/>
    <col min="6442" max="6442" width="13.7109375" style="92" bestFit="1" customWidth="1"/>
    <col min="6443" max="6443" width="14.140625" style="92" bestFit="1" customWidth="1"/>
    <col min="6444" max="6444" width="14" style="92" bestFit="1" customWidth="1"/>
    <col min="6445" max="6445" width="14.85546875" style="92" bestFit="1" customWidth="1"/>
    <col min="6446" max="6446" width="15.7109375" style="92" customWidth="1"/>
    <col min="6447" max="6447" width="5.85546875" style="92" customWidth="1"/>
    <col min="6448" max="6448" width="9.28515625" style="92" customWidth="1"/>
    <col min="6449" max="6449" width="14.85546875" style="92" customWidth="1"/>
    <col min="6450" max="6450" width="12.85546875" style="92" bestFit="1" customWidth="1"/>
    <col min="6451" max="6451" width="12.85546875" style="92" customWidth="1"/>
    <col min="6452" max="6469" width="8.85546875" style="92" customWidth="1"/>
    <col min="6470" max="6470" width="30.28515625" style="92" bestFit="1" customWidth="1"/>
    <col min="6471" max="6471" width="20.7109375" style="92" customWidth="1"/>
    <col min="6472" max="6472" width="13.42578125" style="92" customWidth="1"/>
    <col min="6473" max="6473" width="8.85546875" style="92" customWidth="1"/>
    <col min="6474" max="6474" width="11.7109375" style="92" bestFit="1" customWidth="1"/>
    <col min="6475" max="6642" width="8.85546875" style="92" customWidth="1"/>
    <col min="6643" max="6643" width="29.7109375" style="92" customWidth="1"/>
    <col min="6644" max="6646" width="14.28515625" style="92" customWidth="1"/>
    <col min="6647" max="6647" width="2.7109375" style="92" customWidth="1"/>
    <col min="6648" max="6651" width="14.28515625" style="92"/>
    <col min="6652" max="6652" width="9.28515625" style="92" bestFit="1" customWidth="1"/>
    <col min="6653" max="6653" width="48.140625" style="92" customWidth="1"/>
    <col min="6654" max="6654" width="15.85546875" style="92" bestFit="1" customWidth="1"/>
    <col min="6655" max="6655" width="14.85546875" style="92" bestFit="1" customWidth="1"/>
    <col min="6656" max="6656" width="14.7109375" style="92" bestFit="1" customWidth="1"/>
    <col min="6657" max="6657" width="2.7109375" style="92" customWidth="1"/>
    <col min="6658" max="6658" width="15.85546875" style="92" bestFit="1" customWidth="1"/>
    <col min="6659" max="6660" width="14.5703125" style="92" bestFit="1" customWidth="1"/>
    <col min="6661" max="6661" width="2.7109375" style="92" customWidth="1"/>
    <col min="6662" max="6662" width="15.7109375" style="92" bestFit="1" customWidth="1"/>
    <col min="6663" max="6663" width="13.7109375" style="92" bestFit="1" customWidth="1"/>
    <col min="6664" max="6664" width="13.42578125" style="92" bestFit="1" customWidth="1"/>
    <col min="6665" max="6675" width="10.5703125" style="92" bestFit="1" customWidth="1"/>
    <col min="6676" max="6676" width="13.5703125" style="92" customWidth="1"/>
    <col min="6677" max="6677" width="16.5703125" style="92" customWidth="1"/>
    <col min="6678" max="6678" width="14.42578125" style="92" customWidth="1"/>
    <col min="6679" max="6679" width="13.28515625" style="92" bestFit="1" customWidth="1"/>
    <col min="6680" max="6680" width="13.42578125" style="92" bestFit="1" customWidth="1"/>
    <col min="6681" max="6681" width="13" style="92" customWidth="1"/>
    <col min="6682" max="6682" width="11.5703125" style="92" customWidth="1"/>
    <col min="6683" max="6683" width="13.140625" style="92" customWidth="1"/>
    <col min="6684" max="6685" width="11.5703125" style="92" customWidth="1"/>
    <col min="6686" max="6686" width="12.42578125" style="92" customWidth="1"/>
    <col min="6687" max="6687" width="13.5703125" style="92" customWidth="1"/>
    <col min="6688" max="6688" width="13.140625" style="92" bestFit="1" customWidth="1"/>
    <col min="6689" max="6689" width="18.85546875" style="92" customWidth="1"/>
    <col min="6690" max="6691" width="14.140625" style="92" customWidth="1"/>
    <col min="6692" max="6692" width="13.85546875" style="92" customWidth="1"/>
    <col min="6693" max="6693" width="14.140625" style="92" customWidth="1"/>
    <col min="6694" max="6694" width="13.7109375" style="92" customWidth="1"/>
    <col min="6695" max="6695" width="17.140625" style="92" customWidth="1"/>
    <col min="6696" max="6696" width="15.42578125" style="92" customWidth="1"/>
    <col min="6697" max="6697" width="18" style="92" customWidth="1"/>
    <col min="6698" max="6698" width="13.7109375" style="92" bestFit="1" customWidth="1"/>
    <col min="6699" max="6699" width="14.140625" style="92" bestFit="1" customWidth="1"/>
    <col min="6700" max="6700" width="14" style="92" bestFit="1" customWidth="1"/>
    <col min="6701" max="6701" width="14.85546875" style="92" bestFit="1" customWidth="1"/>
    <col min="6702" max="6702" width="15.7109375" style="92" customWidth="1"/>
    <col min="6703" max="6703" width="5.85546875" style="92" customWidth="1"/>
    <col min="6704" max="6704" width="9.28515625" style="92" customWidth="1"/>
    <col min="6705" max="6705" width="14.85546875" style="92" customWidth="1"/>
    <col min="6706" max="6706" width="12.85546875" style="92" bestFit="1" customWidth="1"/>
    <col min="6707" max="6707" width="12.85546875" style="92" customWidth="1"/>
    <col min="6708" max="6725" width="8.85546875" style="92" customWidth="1"/>
    <col min="6726" max="6726" width="30.28515625" style="92" bestFit="1" customWidth="1"/>
    <col min="6727" max="6727" width="20.7109375" style="92" customWidth="1"/>
    <col min="6728" max="6728" width="13.42578125" style="92" customWidth="1"/>
    <col min="6729" max="6729" width="8.85546875" style="92" customWidth="1"/>
    <col min="6730" max="6730" width="11.7109375" style="92" bestFit="1" customWidth="1"/>
    <col min="6731" max="6898" width="8.85546875" style="92" customWidth="1"/>
    <col min="6899" max="6899" width="29.7109375" style="92" customWidth="1"/>
    <col min="6900" max="6902" width="14.28515625" style="92" customWidth="1"/>
    <col min="6903" max="6903" width="2.7109375" style="92" customWidth="1"/>
    <col min="6904" max="6907" width="14.28515625" style="92"/>
    <col min="6908" max="6908" width="9.28515625" style="92" bestFit="1" customWidth="1"/>
    <col min="6909" max="6909" width="48.140625" style="92" customWidth="1"/>
    <col min="6910" max="6910" width="15.85546875" style="92" bestFit="1" customWidth="1"/>
    <col min="6911" max="6911" width="14.85546875" style="92" bestFit="1" customWidth="1"/>
    <col min="6912" max="6912" width="14.7109375" style="92" bestFit="1" customWidth="1"/>
    <col min="6913" max="6913" width="2.7109375" style="92" customWidth="1"/>
    <col min="6914" max="6914" width="15.85546875" style="92" bestFit="1" customWidth="1"/>
    <col min="6915" max="6916" width="14.5703125" style="92" bestFit="1" customWidth="1"/>
    <col min="6917" max="6917" width="2.7109375" style="92" customWidth="1"/>
    <col min="6918" max="6918" width="15.7109375" style="92" bestFit="1" customWidth="1"/>
    <col min="6919" max="6919" width="13.7109375" style="92" bestFit="1" customWidth="1"/>
    <col min="6920" max="6920" width="13.42578125" style="92" bestFit="1" customWidth="1"/>
    <col min="6921" max="6931" width="10.5703125" style="92" bestFit="1" customWidth="1"/>
    <col min="6932" max="6932" width="13.5703125" style="92" customWidth="1"/>
    <col min="6933" max="6933" width="16.5703125" style="92" customWidth="1"/>
    <col min="6934" max="6934" width="14.42578125" style="92" customWidth="1"/>
    <col min="6935" max="6935" width="13.28515625" style="92" bestFit="1" customWidth="1"/>
    <col min="6936" max="6936" width="13.42578125" style="92" bestFit="1" customWidth="1"/>
    <col min="6937" max="6937" width="13" style="92" customWidth="1"/>
    <col min="6938" max="6938" width="11.5703125" style="92" customWidth="1"/>
    <col min="6939" max="6939" width="13.140625" style="92" customWidth="1"/>
    <col min="6940" max="6941" width="11.5703125" style="92" customWidth="1"/>
    <col min="6942" max="6942" width="12.42578125" style="92" customWidth="1"/>
    <col min="6943" max="6943" width="13.5703125" style="92" customWidth="1"/>
    <col min="6944" max="6944" width="13.140625" style="92" bestFit="1" customWidth="1"/>
    <col min="6945" max="6945" width="18.85546875" style="92" customWidth="1"/>
    <col min="6946" max="6947" width="14.140625" style="92" customWidth="1"/>
    <col min="6948" max="6948" width="13.85546875" style="92" customWidth="1"/>
    <col min="6949" max="6949" width="14.140625" style="92" customWidth="1"/>
    <col min="6950" max="6950" width="13.7109375" style="92" customWidth="1"/>
    <col min="6951" max="6951" width="17.140625" style="92" customWidth="1"/>
    <col min="6952" max="6952" width="15.42578125" style="92" customWidth="1"/>
    <col min="6953" max="6953" width="18" style="92" customWidth="1"/>
    <col min="6954" max="6954" width="13.7109375" style="92" bestFit="1" customWidth="1"/>
    <col min="6955" max="6955" width="14.140625" style="92" bestFit="1" customWidth="1"/>
    <col min="6956" max="6956" width="14" style="92" bestFit="1" customWidth="1"/>
    <col min="6957" max="6957" width="14.85546875" style="92" bestFit="1" customWidth="1"/>
    <col min="6958" max="6958" width="15.7109375" style="92" customWidth="1"/>
    <col min="6959" max="6959" width="5.85546875" style="92" customWidth="1"/>
    <col min="6960" max="6960" width="9.28515625" style="92" customWidth="1"/>
    <col min="6961" max="6961" width="14.85546875" style="92" customWidth="1"/>
    <col min="6962" max="6962" width="12.85546875" style="92" bestFit="1" customWidth="1"/>
    <col min="6963" max="6963" width="12.85546875" style="92" customWidth="1"/>
    <col min="6964" max="6981" width="8.85546875" style="92" customWidth="1"/>
    <col min="6982" max="6982" width="30.28515625" style="92" bestFit="1" customWidth="1"/>
    <col min="6983" max="6983" width="20.7109375" style="92" customWidth="1"/>
    <col min="6984" max="6984" width="13.42578125" style="92" customWidth="1"/>
    <col min="6985" max="6985" width="8.85546875" style="92" customWidth="1"/>
    <col min="6986" max="6986" width="11.7109375" style="92" bestFit="1" customWidth="1"/>
    <col min="6987" max="7154" width="8.85546875" style="92" customWidth="1"/>
    <col min="7155" max="7155" width="29.7109375" style="92" customWidth="1"/>
    <col min="7156" max="7158" width="14.28515625" style="92" customWidth="1"/>
    <col min="7159" max="7159" width="2.7109375" style="92" customWidth="1"/>
    <col min="7160" max="7163" width="14.28515625" style="92"/>
    <col min="7164" max="7164" width="9.28515625" style="92" bestFit="1" customWidth="1"/>
    <col min="7165" max="7165" width="48.140625" style="92" customWidth="1"/>
    <col min="7166" max="7166" width="15.85546875" style="92" bestFit="1" customWidth="1"/>
    <col min="7167" max="7167" width="14.85546875" style="92" bestFit="1" customWidth="1"/>
    <col min="7168" max="7168" width="14.7109375" style="92" bestFit="1" customWidth="1"/>
    <col min="7169" max="7169" width="2.7109375" style="92" customWidth="1"/>
    <col min="7170" max="7170" width="15.85546875" style="92" bestFit="1" customWidth="1"/>
    <col min="7171" max="7172" width="14.5703125" style="92" bestFit="1" customWidth="1"/>
    <col min="7173" max="7173" width="2.7109375" style="92" customWidth="1"/>
    <col min="7174" max="7174" width="15.7109375" style="92" bestFit="1" customWidth="1"/>
    <col min="7175" max="7175" width="13.7109375" style="92" bestFit="1" customWidth="1"/>
    <col min="7176" max="7176" width="13.42578125" style="92" bestFit="1" customWidth="1"/>
    <col min="7177" max="7187" width="10.5703125" style="92" bestFit="1" customWidth="1"/>
    <col min="7188" max="7188" width="13.5703125" style="92" customWidth="1"/>
    <col min="7189" max="7189" width="16.5703125" style="92" customWidth="1"/>
    <col min="7190" max="7190" width="14.42578125" style="92" customWidth="1"/>
    <col min="7191" max="7191" width="13.28515625" style="92" bestFit="1" customWidth="1"/>
    <col min="7192" max="7192" width="13.42578125" style="92" bestFit="1" customWidth="1"/>
    <col min="7193" max="7193" width="13" style="92" customWidth="1"/>
    <col min="7194" max="7194" width="11.5703125" style="92" customWidth="1"/>
    <col min="7195" max="7195" width="13.140625" style="92" customWidth="1"/>
    <col min="7196" max="7197" width="11.5703125" style="92" customWidth="1"/>
    <col min="7198" max="7198" width="12.42578125" style="92" customWidth="1"/>
    <col min="7199" max="7199" width="13.5703125" style="92" customWidth="1"/>
    <col min="7200" max="7200" width="13.140625" style="92" bestFit="1" customWidth="1"/>
    <col min="7201" max="7201" width="18.85546875" style="92" customWidth="1"/>
    <col min="7202" max="7203" width="14.140625" style="92" customWidth="1"/>
    <col min="7204" max="7204" width="13.85546875" style="92" customWidth="1"/>
    <col min="7205" max="7205" width="14.140625" style="92" customWidth="1"/>
    <col min="7206" max="7206" width="13.7109375" style="92" customWidth="1"/>
    <col min="7207" max="7207" width="17.140625" style="92" customWidth="1"/>
    <col min="7208" max="7208" width="15.42578125" style="92" customWidth="1"/>
    <col min="7209" max="7209" width="18" style="92" customWidth="1"/>
    <col min="7210" max="7210" width="13.7109375" style="92" bestFit="1" customWidth="1"/>
    <col min="7211" max="7211" width="14.140625" style="92" bestFit="1" customWidth="1"/>
    <col min="7212" max="7212" width="14" style="92" bestFit="1" customWidth="1"/>
    <col min="7213" max="7213" width="14.85546875" style="92" bestFit="1" customWidth="1"/>
    <col min="7214" max="7214" width="15.7109375" style="92" customWidth="1"/>
    <col min="7215" max="7215" width="5.85546875" style="92" customWidth="1"/>
    <col min="7216" max="7216" width="9.28515625" style="92" customWidth="1"/>
    <col min="7217" max="7217" width="14.85546875" style="92" customWidth="1"/>
    <col min="7218" max="7218" width="12.85546875" style="92" bestFit="1" customWidth="1"/>
    <col min="7219" max="7219" width="12.85546875" style="92" customWidth="1"/>
    <col min="7220" max="7237" width="8.85546875" style="92" customWidth="1"/>
    <col min="7238" max="7238" width="30.28515625" style="92" bestFit="1" customWidth="1"/>
    <col min="7239" max="7239" width="20.7109375" style="92" customWidth="1"/>
    <col min="7240" max="7240" width="13.42578125" style="92" customWidth="1"/>
    <col min="7241" max="7241" width="8.85546875" style="92" customWidth="1"/>
    <col min="7242" max="7242" width="11.7109375" style="92" bestFit="1" customWidth="1"/>
    <col min="7243" max="7410" width="8.85546875" style="92" customWidth="1"/>
    <col min="7411" max="7411" width="29.7109375" style="92" customWidth="1"/>
    <col min="7412" max="7414" width="14.28515625" style="92" customWidth="1"/>
    <col min="7415" max="7415" width="2.7109375" style="92" customWidth="1"/>
    <col min="7416" max="7419" width="14.28515625" style="92"/>
    <col min="7420" max="7420" width="9.28515625" style="92" bestFit="1" customWidth="1"/>
    <col min="7421" max="7421" width="48.140625" style="92" customWidth="1"/>
    <col min="7422" max="7422" width="15.85546875" style="92" bestFit="1" customWidth="1"/>
    <col min="7423" max="7423" width="14.85546875" style="92" bestFit="1" customWidth="1"/>
    <col min="7424" max="7424" width="14.7109375" style="92" bestFit="1" customWidth="1"/>
    <col min="7425" max="7425" width="2.7109375" style="92" customWidth="1"/>
    <col min="7426" max="7426" width="15.85546875" style="92" bestFit="1" customWidth="1"/>
    <col min="7427" max="7428" width="14.5703125" style="92" bestFit="1" customWidth="1"/>
    <col min="7429" max="7429" width="2.7109375" style="92" customWidth="1"/>
    <col min="7430" max="7430" width="15.7109375" style="92" bestFit="1" customWidth="1"/>
    <col min="7431" max="7431" width="13.7109375" style="92" bestFit="1" customWidth="1"/>
    <col min="7432" max="7432" width="13.42578125" style="92" bestFit="1" customWidth="1"/>
    <col min="7433" max="7443" width="10.5703125" style="92" bestFit="1" customWidth="1"/>
    <col min="7444" max="7444" width="13.5703125" style="92" customWidth="1"/>
    <col min="7445" max="7445" width="16.5703125" style="92" customWidth="1"/>
    <col min="7446" max="7446" width="14.42578125" style="92" customWidth="1"/>
    <col min="7447" max="7447" width="13.28515625" style="92" bestFit="1" customWidth="1"/>
    <col min="7448" max="7448" width="13.42578125" style="92" bestFit="1" customWidth="1"/>
    <col min="7449" max="7449" width="13" style="92" customWidth="1"/>
    <col min="7450" max="7450" width="11.5703125" style="92" customWidth="1"/>
    <col min="7451" max="7451" width="13.140625" style="92" customWidth="1"/>
    <col min="7452" max="7453" width="11.5703125" style="92" customWidth="1"/>
    <col min="7454" max="7454" width="12.42578125" style="92" customWidth="1"/>
    <col min="7455" max="7455" width="13.5703125" style="92" customWidth="1"/>
    <col min="7456" max="7456" width="13.140625" style="92" bestFit="1" customWidth="1"/>
    <col min="7457" max="7457" width="18.85546875" style="92" customWidth="1"/>
    <col min="7458" max="7459" width="14.140625" style="92" customWidth="1"/>
    <col min="7460" max="7460" width="13.85546875" style="92" customWidth="1"/>
    <col min="7461" max="7461" width="14.140625" style="92" customWidth="1"/>
    <col min="7462" max="7462" width="13.7109375" style="92" customWidth="1"/>
    <col min="7463" max="7463" width="17.140625" style="92" customWidth="1"/>
    <col min="7464" max="7464" width="15.42578125" style="92" customWidth="1"/>
    <col min="7465" max="7465" width="18" style="92" customWidth="1"/>
    <col min="7466" max="7466" width="13.7109375" style="92" bestFit="1" customWidth="1"/>
    <col min="7467" max="7467" width="14.140625" style="92" bestFit="1" customWidth="1"/>
    <col min="7468" max="7468" width="14" style="92" bestFit="1" customWidth="1"/>
    <col min="7469" max="7469" width="14.85546875" style="92" bestFit="1" customWidth="1"/>
    <col min="7470" max="7470" width="15.7109375" style="92" customWidth="1"/>
    <col min="7471" max="7471" width="5.85546875" style="92" customWidth="1"/>
    <col min="7472" max="7472" width="9.28515625" style="92" customWidth="1"/>
    <col min="7473" max="7473" width="14.85546875" style="92" customWidth="1"/>
    <col min="7474" max="7474" width="12.85546875" style="92" bestFit="1" customWidth="1"/>
    <col min="7475" max="7475" width="12.85546875" style="92" customWidth="1"/>
    <col min="7476" max="7493" width="8.85546875" style="92" customWidth="1"/>
    <col min="7494" max="7494" width="30.28515625" style="92" bestFit="1" customWidth="1"/>
    <col min="7495" max="7495" width="20.7109375" style="92" customWidth="1"/>
    <col min="7496" max="7496" width="13.42578125" style="92" customWidth="1"/>
    <col min="7497" max="7497" width="8.85546875" style="92" customWidth="1"/>
    <col min="7498" max="7498" width="11.7109375" style="92" bestFit="1" customWidth="1"/>
    <col min="7499" max="7666" width="8.85546875" style="92" customWidth="1"/>
    <col min="7667" max="7667" width="29.7109375" style="92" customWidth="1"/>
    <col min="7668" max="7670" width="14.28515625" style="92" customWidth="1"/>
    <col min="7671" max="7671" width="2.7109375" style="92" customWidth="1"/>
    <col min="7672" max="7675" width="14.28515625" style="92"/>
    <col min="7676" max="7676" width="9.28515625" style="92" bestFit="1" customWidth="1"/>
    <col min="7677" max="7677" width="48.140625" style="92" customWidth="1"/>
    <col min="7678" max="7678" width="15.85546875" style="92" bestFit="1" customWidth="1"/>
    <col min="7679" max="7679" width="14.85546875" style="92" bestFit="1" customWidth="1"/>
    <col min="7680" max="7680" width="14.7109375" style="92" bestFit="1" customWidth="1"/>
    <col min="7681" max="7681" width="2.7109375" style="92" customWidth="1"/>
    <col min="7682" max="7682" width="15.85546875" style="92" bestFit="1" customWidth="1"/>
    <col min="7683" max="7684" width="14.5703125" style="92" bestFit="1" customWidth="1"/>
    <col min="7685" max="7685" width="2.7109375" style="92" customWidth="1"/>
    <col min="7686" max="7686" width="15.7109375" style="92" bestFit="1" customWidth="1"/>
    <col min="7687" max="7687" width="13.7109375" style="92" bestFit="1" customWidth="1"/>
    <col min="7688" max="7688" width="13.42578125" style="92" bestFit="1" customWidth="1"/>
    <col min="7689" max="7699" width="10.5703125" style="92" bestFit="1" customWidth="1"/>
    <col min="7700" max="7700" width="13.5703125" style="92" customWidth="1"/>
    <col min="7701" max="7701" width="16.5703125" style="92" customWidth="1"/>
    <col min="7702" max="7702" width="14.42578125" style="92" customWidth="1"/>
    <col min="7703" max="7703" width="13.28515625" style="92" bestFit="1" customWidth="1"/>
    <col min="7704" max="7704" width="13.42578125" style="92" bestFit="1" customWidth="1"/>
    <col min="7705" max="7705" width="13" style="92" customWidth="1"/>
    <col min="7706" max="7706" width="11.5703125" style="92" customWidth="1"/>
    <col min="7707" max="7707" width="13.140625" style="92" customWidth="1"/>
    <col min="7708" max="7709" width="11.5703125" style="92" customWidth="1"/>
    <col min="7710" max="7710" width="12.42578125" style="92" customWidth="1"/>
    <col min="7711" max="7711" width="13.5703125" style="92" customWidth="1"/>
    <col min="7712" max="7712" width="13.140625" style="92" bestFit="1" customWidth="1"/>
    <col min="7713" max="7713" width="18.85546875" style="92" customWidth="1"/>
    <col min="7714" max="7715" width="14.140625" style="92" customWidth="1"/>
    <col min="7716" max="7716" width="13.85546875" style="92" customWidth="1"/>
    <col min="7717" max="7717" width="14.140625" style="92" customWidth="1"/>
    <col min="7718" max="7718" width="13.7109375" style="92" customWidth="1"/>
    <col min="7719" max="7719" width="17.140625" style="92" customWidth="1"/>
    <col min="7720" max="7720" width="15.42578125" style="92" customWidth="1"/>
    <col min="7721" max="7721" width="18" style="92" customWidth="1"/>
    <col min="7722" max="7722" width="13.7109375" style="92" bestFit="1" customWidth="1"/>
    <col min="7723" max="7723" width="14.140625" style="92" bestFit="1" customWidth="1"/>
    <col min="7724" max="7724" width="14" style="92" bestFit="1" customWidth="1"/>
    <col min="7725" max="7725" width="14.85546875" style="92" bestFit="1" customWidth="1"/>
    <col min="7726" max="7726" width="15.7109375" style="92" customWidth="1"/>
    <col min="7727" max="7727" width="5.85546875" style="92" customWidth="1"/>
    <col min="7728" max="7728" width="9.28515625" style="92" customWidth="1"/>
    <col min="7729" max="7729" width="14.85546875" style="92" customWidth="1"/>
    <col min="7730" max="7730" width="12.85546875" style="92" bestFit="1" customWidth="1"/>
    <col min="7731" max="7731" width="12.85546875" style="92" customWidth="1"/>
    <col min="7732" max="7749" width="8.85546875" style="92" customWidth="1"/>
    <col min="7750" max="7750" width="30.28515625" style="92" bestFit="1" customWidth="1"/>
    <col min="7751" max="7751" width="20.7109375" style="92" customWidth="1"/>
    <col min="7752" max="7752" width="13.42578125" style="92" customWidth="1"/>
    <col min="7753" max="7753" width="8.85546875" style="92" customWidth="1"/>
    <col min="7754" max="7754" width="11.7109375" style="92" bestFit="1" customWidth="1"/>
    <col min="7755" max="7922" width="8.85546875" style="92" customWidth="1"/>
    <col min="7923" max="7923" width="29.7109375" style="92" customWidth="1"/>
    <col min="7924" max="7926" width="14.28515625" style="92" customWidth="1"/>
    <col min="7927" max="7927" width="2.7109375" style="92" customWidth="1"/>
    <col min="7928" max="7931" width="14.28515625" style="92"/>
    <col min="7932" max="7932" width="9.28515625" style="92" bestFit="1" customWidth="1"/>
    <col min="7933" max="7933" width="48.140625" style="92" customWidth="1"/>
    <col min="7934" max="7934" width="15.85546875" style="92" bestFit="1" customWidth="1"/>
    <col min="7935" max="7935" width="14.85546875" style="92" bestFit="1" customWidth="1"/>
    <col min="7936" max="7936" width="14.7109375" style="92" bestFit="1" customWidth="1"/>
    <col min="7937" max="7937" width="2.7109375" style="92" customWidth="1"/>
    <col min="7938" max="7938" width="15.85546875" style="92" bestFit="1" customWidth="1"/>
    <col min="7939" max="7940" width="14.5703125" style="92" bestFit="1" customWidth="1"/>
    <col min="7941" max="7941" width="2.7109375" style="92" customWidth="1"/>
    <col min="7942" max="7942" width="15.7109375" style="92" bestFit="1" customWidth="1"/>
    <col min="7943" max="7943" width="13.7109375" style="92" bestFit="1" customWidth="1"/>
    <col min="7944" max="7944" width="13.42578125" style="92" bestFit="1" customWidth="1"/>
    <col min="7945" max="7955" width="10.5703125" style="92" bestFit="1" customWidth="1"/>
    <col min="7956" max="7956" width="13.5703125" style="92" customWidth="1"/>
    <col min="7957" max="7957" width="16.5703125" style="92" customWidth="1"/>
    <col min="7958" max="7958" width="14.42578125" style="92" customWidth="1"/>
    <col min="7959" max="7959" width="13.28515625" style="92" bestFit="1" customWidth="1"/>
    <col min="7960" max="7960" width="13.42578125" style="92" bestFit="1" customWidth="1"/>
    <col min="7961" max="7961" width="13" style="92" customWidth="1"/>
    <col min="7962" max="7962" width="11.5703125" style="92" customWidth="1"/>
    <col min="7963" max="7963" width="13.140625" style="92" customWidth="1"/>
    <col min="7964" max="7965" width="11.5703125" style="92" customWidth="1"/>
    <col min="7966" max="7966" width="12.42578125" style="92" customWidth="1"/>
    <col min="7967" max="7967" width="13.5703125" style="92" customWidth="1"/>
    <col min="7968" max="7968" width="13.140625" style="92" bestFit="1" customWidth="1"/>
    <col min="7969" max="7969" width="18.85546875" style="92" customWidth="1"/>
    <col min="7970" max="7971" width="14.140625" style="92" customWidth="1"/>
    <col min="7972" max="7972" width="13.85546875" style="92" customWidth="1"/>
    <col min="7973" max="7973" width="14.140625" style="92" customWidth="1"/>
    <col min="7974" max="7974" width="13.7109375" style="92" customWidth="1"/>
    <col min="7975" max="7975" width="17.140625" style="92" customWidth="1"/>
    <col min="7976" max="7976" width="15.42578125" style="92" customWidth="1"/>
    <col min="7977" max="7977" width="18" style="92" customWidth="1"/>
    <col min="7978" max="7978" width="13.7109375" style="92" bestFit="1" customWidth="1"/>
    <col min="7979" max="7979" width="14.140625" style="92" bestFit="1" customWidth="1"/>
    <col min="7980" max="7980" width="14" style="92" bestFit="1" customWidth="1"/>
    <col min="7981" max="7981" width="14.85546875" style="92" bestFit="1" customWidth="1"/>
    <col min="7982" max="7982" width="15.7109375" style="92" customWidth="1"/>
    <col min="7983" max="7983" width="5.85546875" style="92" customWidth="1"/>
    <col min="7984" max="7984" width="9.28515625" style="92" customWidth="1"/>
    <col min="7985" max="7985" width="14.85546875" style="92" customWidth="1"/>
    <col min="7986" max="7986" width="12.85546875" style="92" bestFit="1" customWidth="1"/>
    <col min="7987" max="7987" width="12.85546875" style="92" customWidth="1"/>
    <col min="7988" max="8005" width="8.85546875" style="92" customWidth="1"/>
    <col min="8006" max="8006" width="30.28515625" style="92" bestFit="1" customWidth="1"/>
    <col min="8007" max="8007" width="20.7109375" style="92" customWidth="1"/>
    <col min="8008" max="8008" width="13.42578125" style="92" customWidth="1"/>
    <col min="8009" max="8009" width="8.85546875" style="92" customWidth="1"/>
    <col min="8010" max="8010" width="11.7109375" style="92" bestFit="1" customWidth="1"/>
    <col min="8011" max="8178" width="8.85546875" style="92" customWidth="1"/>
    <col min="8179" max="8179" width="29.7109375" style="92" customWidth="1"/>
    <col min="8180" max="8182" width="14.28515625" style="92" customWidth="1"/>
    <col min="8183" max="8183" width="2.7109375" style="92" customWidth="1"/>
    <col min="8184" max="8187" width="14.28515625" style="92"/>
    <col min="8188" max="8188" width="9.28515625" style="92" bestFit="1" customWidth="1"/>
    <col min="8189" max="8189" width="48.140625" style="92" customWidth="1"/>
    <col min="8190" max="8190" width="15.85546875" style="92" bestFit="1" customWidth="1"/>
    <col min="8191" max="8191" width="14.85546875" style="92" bestFit="1" customWidth="1"/>
    <col min="8192" max="8192" width="14.7109375" style="92" bestFit="1" customWidth="1"/>
    <col min="8193" max="8193" width="2.7109375" style="92" customWidth="1"/>
    <col min="8194" max="8194" width="15.85546875" style="92" bestFit="1" customWidth="1"/>
    <col min="8195" max="8196" width="14.5703125" style="92" bestFit="1" customWidth="1"/>
    <col min="8197" max="8197" width="2.7109375" style="92" customWidth="1"/>
    <col min="8198" max="8198" width="15.7109375" style="92" bestFit="1" customWidth="1"/>
    <col min="8199" max="8199" width="13.7109375" style="92" bestFit="1" customWidth="1"/>
    <col min="8200" max="8200" width="13.42578125" style="92" bestFit="1" customWidth="1"/>
    <col min="8201" max="8211" width="10.5703125" style="92" bestFit="1" customWidth="1"/>
    <col min="8212" max="8212" width="13.5703125" style="92" customWidth="1"/>
    <col min="8213" max="8213" width="16.5703125" style="92" customWidth="1"/>
    <col min="8214" max="8214" width="14.42578125" style="92" customWidth="1"/>
    <col min="8215" max="8215" width="13.28515625" style="92" bestFit="1" customWidth="1"/>
    <col min="8216" max="8216" width="13.42578125" style="92" bestFit="1" customWidth="1"/>
    <col min="8217" max="8217" width="13" style="92" customWidth="1"/>
    <col min="8218" max="8218" width="11.5703125" style="92" customWidth="1"/>
    <col min="8219" max="8219" width="13.140625" style="92" customWidth="1"/>
    <col min="8220" max="8221" width="11.5703125" style="92" customWidth="1"/>
    <col min="8222" max="8222" width="12.42578125" style="92" customWidth="1"/>
    <col min="8223" max="8223" width="13.5703125" style="92" customWidth="1"/>
    <col min="8224" max="8224" width="13.140625" style="92" bestFit="1" customWidth="1"/>
    <col min="8225" max="8225" width="18.85546875" style="92" customWidth="1"/>
    <col min="8226" max="8227" width="14.140625" style="92" customWidth="1"/>
    <col min="8228" max="8228" width="13.85546875" style="92" customWidth="1"/>
    <col min="8229" max="8229" width="14.140625" style="92" customWidth="1"/>
    <col min="8230" max="8230" width="13.7109375" style="92" customWidth="1"/>
    <col min="8231" max="8231" width="17.140625" style="92" customWidth="1"/>
    <col min="8232" max="8232" width="15.42578125" style="92" customWidth="1"/>
    <col min="8233" max="8233" width="18" style="92" customWidth="1"/>
    <col min="8234" max="8234" width="13.7109375" style="92" bestFit="1" customWidth="1"/>
    <col min="8235" max="8235" width="14.140625" style="92" bestFit="1" customWidth="1"/>
    <col min="8236" max="8236" width="14" style="92" bestFit="1" customWidth="1"/>
    <col min="8237" max="8237" width="14.85546875" style="92" bestFit="1" customWidth="1"/>
    <col min="8238" max="8238" width="15.7109375" style="92" customWidth="1"/>
    <col min="8239" max="8239" width="5.85546875" style="92" customWidth="1"/>
    <col min="8240" max="8240" width="9.28515625" style="92" customWidth="1"/>
    <col min="8241" max="8241" width="14.85546875" style="92" customWidth="1"/>
    <col min="8242" max="8242" width="12.85546875" style="92" bestFit="1" customWidth="1"/>
    <col min="8243" max="8243" width="12.85546875" style="92" customWidth="1"/>
    <col min="8244" max="8261" width="8.85546875" style="92" customWidth="1"/>
    <col min="8262" max="8262" width="30.28515625" style="92" bestFit="1" customWidth="1"/>
    <col min="8263" max="8263" width="20.7109375" style="92" customWidth="1"/>
    <col min="8264" max="8264" width="13.42578125" style="92" customWidth="1"/>
    <col min="8265" max="8265" width="8.85546875" style="92" customWidth="1"/>
    <col min="8266" max="8266" width="11.7109375" style="92" bestFit="1" customWidth="1"/>
    <col min="8267" max="8434" width="8.85546875" style="92" customWidth="1"/>
    <col min="8435" max="8435" width="29.7109375" style="92" customWidth="1"/>
    <col min="8436" max="8438" width="14.28515625" style="92" customWidth="1"/>
    <col min="8439" max="8439" width="2.7109375" style="92" customWidth="1"/>
    <col min="8440" max="8443" width="14.28515625" style="92"/>
    <col min="8444" max="8444" width="9.28515625" style="92" bestFit="1" customWidth="1"/>
    <col min="8445" max="8445" width="48.140625" style="92" customWidth="1"/>
    <col min="8446" max="8446" width="15.85546875" style="92" bestFit="1" customWidth="1"/>
    <col min="8447" max="8447" width="14.85546875" style="92" bestFit="1" customWidth="1"/>
    <col min="8448" max="8448" width="14.7109375" style="92" bestFit="1" customWidth="1"/>
    <col min="8449" max="8449" width="2.7109375" style="92" customWidth="1"/>
    <col min="8450" max="8450" width="15.85546875" style="92" bestFit="1" customWidth="1"/>
    <col min="8451" max="8452" width="14.5703125" style="92" bestFit="1" customWidth="1"/>
    <col min="8453" max="8453" width="2.7109375" style="92" customWidth="1"/>
    <col min="8454" max="8454" width="15.7109375" style="92" bestFit="1" customWidth="1"/>
    <col min="8455" max="8455" width="13.7109375" style="92" bestFit="1" customWidth="1"/>
    <col min="8456" max="8456" width="13.42578125" style="92" bestFit="1" customWidth="1"/>
    <col min="8457" max="8467" width="10.5703125" style="92" bestFit="1" customWidth="1"/>
    <col min="8468" max="8468" width="13.5703125" style="92" customWidth="1"/>
    <col min="8469" max="8469" width="16.5703125" style="92" customWidth="1"/>
    <col min="8470" max="8470" width="14.42578125" style="92" customWidth="1"/>
    <col min="8471" max="8471" width="13.28515625" style="92" bestFit="1" customWidth="1"/>
    <col min="8472" max="8472" width="13.42578125" style="92" bestFit="1" customWidth="1"/>
    <col min="8473" max="8473" width="13" style="92" customWidth="1"/>
    <col min="8474" max="8474" width="11.5703125" style="92" customWidth="1"/>
    <col min="8475" max="8475" width="13.140625" style="92" customWidth="1"/>
    <col min="8476" max="8477" width="11.5703125" style="92" customWidth="1"/>
    <col min="8478" max="8478" width="12.42578125" style="92" customWidth="1"/>
    <col min="8479" max="8479" width="13.5703125" style="92" customWidth="1"/>
    <col min="8480" max="8480" width="13.140625" style="92" bestFit="1" customWidth="1"/>
    <col min="8481" max="8481" width="18.85546875" style="92" customWidth="1"/>
    <col min="8482" max="8483" width="14.140625" style="92" customWidth="1"/>
    <col min="8484" max="8484" width="13.85546875" style="92" customWidth="1"/>
    <col min="8485" max="8485" width="14.140625" style="92" customWidth="1"/>
    <col min="8486" max="8486" width="13.7109375" style="92" customWidth="1"/>
    <col min="8487" max="8487" width="17.140625" style="92" customWidth="1"/>
    <col min="8488" max="8488" width="15.42578125" style="92" customWidth="1"/>
    <col min="8489" max="8489" width="18" style="92" customWidth="1"/>
    <col min="8490" max="8490" width="13.7109375" style="92" bestFit="1" customWidth="1"/>
    <col min="8491" max="8491" width="14.140625" style="92" bestFit="1" customWidth="1"/>
    <col min="8492" max="8492" width="14" style="92" bestFit="1" customWidth="1"/>
    <col min="8493" max="8493" width="14.85546875" style="92" bestFit="1" customWidth="1"/>
    <col min="8494" max="8494" width="15.7109375" style="92" customWidth="1"/>
    <col min="8495" max="8495" width="5.85546875" style="92" customWidth="1"/>
    <col min="8496" max="8496" width="9.28515625" style="92" customWidth="1"/>
    <col min="8497" max="8497" width="14.85546875" style="92" customWidth="1"/>
    <col min="8498" max="8498" width="12.85546875" style="92" bestFit="1" customWidth="1"/>
    <col min="8499" max="8499" width="12.85546875" style="92" customWidth="1"/>
    <col min="8500" max="8517" width="8.85546875" style="92" customWidth="1"/>
    <col min="8518" max="8518" width="30.28515625" style="92" bestFit="1" customWidth="1"/>
    <col min="8519" max="8519" width="20.7109375" style="92" customWidth="1"/>
    <col min="8520" max="8520" width="13.42578125" style="92" customWidth="1"/>
    <col min="8521" max="8521" width="8.85546875" style="92" customWidth="1"/>
    <col min="8522" max="8522" width="11.7109375" style="92" bestFit="1" customWidth="1"/>
    <col min="8523" max="8690" width="8.85546875" style="92" customWidth="1"/>
    <col min="8691" max="8691" width="29.7109375" style="92" customWidth="1"/>
    <col min="8692" max="8694" width="14.28515625" style="92" customWidth="1"/>
    <col min="8695" max="8695" width="2.7109375" style="92" customWidth="1"/>
    <col min="8696" max="8699" width="14.28515625" style="92"/>
    <col min="8700" max="8700" width="9.28515625" style="92" bestFit="1" customWidth="1"/>
    <col min="8701" max="8701" width="48.140625" style="92" customWidth="1"/>
    <col min="8702" max="8702" width="15.85546875" style="92" bestFit="1" customWidth="1"/>
    <col min="8703" max="8703" width="14.85546875" style="92" bestFit="1" customWidth="1"/>
    <col min="8704" max="8704" width="14.7109375" style="92" bestFit="1" customWidth="1"/>
    <col min="8705" max="8705" width="2.7109375" style="92" customWidth="1"/>
    <col min="8706" max="8706" width="15.85546875" style="92" bestFit="1" customWidth="1"/>
    <col min="8707" max="8708" width="14.5703125" style="92" bestFit="1" customWidth="1"/>
    <col min="8709" max="8709" width="2.7109375" style="92" customWidth="1"/>
    <col min="8710" max="8710" width="15.7109375" style="92" bestFit="1" customWidth="1"/>
    <col min="8711" max="8711" width="13.7109375" style="92" bestFit="1" customWidth="1"/>
    <col min="8712" max="8712" width="13.42578125" style="92" bestFit="1" customWidth="1"/>
    <col min="8713" max="8723" width="10.5703125" style="92" bestFit="1" customWidth="1"/>
    <col min="8724" max="8724" width="13.5703125" style="92" customWidth="1"/>
    <col min="8725" max="8725" width="16.5703125" style="92" customWidth="1"/>
    <col min="8726" max="8726" width="14.42578125" style="92" customWidth="1"/>
    <col min="8727" max="8727" width="13.28515625" style="92" bestFit="1" customWidth="1"/>
    <col min="8728" max="8728" width="13.42578125" style="92" bestFit="1" customWidth="1"/>
    <col min="8729" max="8729" width="13" style="92" customWidth="1"/>
    <col min="8730" max="8730" width="11.5703125" style="92" customWidth="1"/>
    <col min="8731" max="8731" width="13.140625" style="92" customWidth="1"/>
    <col min="8732" max="8733" width="11.5703125" style="92" customWidth="1"/>
    <col min="8734" max="8734" width="12.42578125" style="92" customWidth="1"/>
    <col min="8735" max="8735" width="13.5703125" style="92" customWidth="1"/>
    <col min="8736" max="8736" width="13.140625" style="92" bestFit="1" customWidth="1"/>
    <col min="8737" max="8737" width="18.85546875" style="92" customWidth="1"/>
    <col min="8738" max="8739" width="14.140625" style="92" customWidth="1"/>
    <col min="8740" max="8740" width="13.85546875" style="92" customWidth="1"/>
    <col min="8741" max="8741" width="14.140625" style="92" customWidth="1"/>
    <col min="8742" max="8742" width="13.7109375" style="92" customWidth="1"/>
    <col min="8743" max="8743" width="17.140625" style="92" customWidth="1"/>
    <col min="8744" max="8744" width="15.42578125" style="92" customWidth="1"/>
    <col min="8745" max="8745" width="18" style="92" customWidth="1"/>
    <col min="8746" max="8746" width="13.7109375" style="92" bestFit="1" customWidth="1"/>
    <col min="8747" max="8747" width="14.140625" style="92" bestFit="1" customWidth="1"/>
    <col min="8748" max="8748" width="14" style="92" bestFit="1" customWidth="1"/>
    <col min="8749" max="8749" width="14.85546875" style="92" bestFit="1" customWidth="1"/>
    <col min="8750" max="8750" width="15.7109375" style="92" customWidth="1"/>
    <col min="8751" max="8751" width="5.85546875" style="92" customWidth="1"/>
    <col min="8752" max="8752" width="9.28515625" style="92" customWidth="1"/>
    <col min="8753" max="8753" width="14.85546875" style="92" customWidth="1"/>
    <col min="8754" max="8754" width="12.85546875" style="92" bestFit="1" customWidth="1"/>
    <col min="8755" max="8755" width="12.85546875" style="92" customWidth="1"/>
    <col min="8756" max="8773" width="8.85546875" style="92" customWidth="1"/>
    <col min="8774" max="8774" width="30.28515625" style="92" bestFit="1" customWidth="1"/>
    <col min="8775" max="8775" width="20.7109375" style="92" customWidth="1"/>
    <col min="8776" max="8776" width="13.42578125" style="92" customWidth="1"/>
    <col min="8777" max="8777" width="8.85546875" style="92" customWidth="1"/>
    <col min="8778" max="8778" width="11.7109375" style="92" bestFit="1" customWidth="1"/>
    <col min="8779" max="8946" width="8.85546875" style="92" customWidth="1"/>
    <col min="8947" max="8947" width="29.7109375" style="92" customWidth="1"/>
    <col min="8948" max="8950" width="14.28515625" style="92" customWidth="1"/>
    <col min="8951" max="8951" width="2.7109375" style="92" customWidth="1"/>
    <col min="8952" max="8955" width="14.28515625" style="92"/>
    <col min="8956" max="8956" width="9.28515625" style="92" bestFit="1" customWidth="1"/>
    <col min="8957" max="8957" width="48.140625" style="92" customWidth="1"/>
    <col min="8958" max="8958" width="15.85546875" style="92" bestFit="1" customWidth="1"/>
    <col min="8959" max="8959" width="14.85546875" style="92" bestFit="1" customWidth="1"/>
    <col min="8960" max="8960" width="14.7109375" style="92" bestFit="1" customWidth="1"/>
    <col min="8961" max="8961" width="2.7109375" style="92" customWidth="1"/>
    <col min="8962" max="8962" width="15.85546875" style="92" bestFit="1" customWidth="1"/>
    <col min="8963" max="8964" width="14.5703125" style="92" bestFit="1" customWidth="1"/>
    <col min="8965" max="8965" width="2.7109375" style="92" customWidth="1"/>
    <col min="8966" max="8966" width="15.7109375" style="92" bestFit="1" customWidth="1"/>
    <col min="8967" max="8967" width="13.7109375" style="92" bestFit="1" customWidth="1"/>
    <col min="8968" max="8968" width="13.42578125" style="92" bestFit="1" customWidth="1"/>
    <col min="8969" max="8979" width="10.5703125" style="92" bestFit="1" customWidth="1"/>
    <col min="8980" max="8980" width="13.5703125" style="92" customWidth="1"/>
    <col min="8981" max="8981" width="16.5703125" style="92" customWidth="1"/>
    <col min="8982" max="8982" width="14.42578125" style="92" customWidth="1"/>
    <col min="8983" max="8983" width="13.28515625" style="92" bestFit="1" customWidth="1"/>
    <col min="8984" max="8984" width="13.42578125" style="92" bestFit="1" customWidth="1"/>
    <col min="8985" max="8985" width="13" style="92" customWidth="1"/>
    <col min="8986" max="8986" width="11.5703125" style="92" customWidth="1"/>
    <col min="8987" max="8987" width="13.140625" style="92" customWidth="1"/>
    <col min="8988" max="8989" width="11.5703125" style="92" customWidth="1"/>
    <col min="8990" max="8990" width="12.42578125" style="92" customWidth="1"/>
    <col min="8991" max="8991" width="13.5703125" style="92" customWidth="1"/>
    <col min="8992" max="8992" width="13.140625" style="92" bestFit="1" customWidth="1"/>
    <col min="8993" max="8993" width="18.85546875" style="92" customWidth="1"/>
    <col min="8994" max="8995" width="14.140625" style="92" customWidth="1"/>
    <col min="8996" max="8996" width="13.85546875" style="92" customWidth="1"/>
    <col min="8997" max="8997" width="14.140625" style="92" customWidth="1"/>
    <col min="8998" max="8998" width="13.7109375" style="92" customWidth="1"/>
    <col min="8999" max="8999" width="17.140625" style="92" customWidth="1"/>
    <col min="9000" max="9000" width="15.42578125" style="92" customWidth="1"/>
    <col min="9001" max="9001" width="18" style="92" customWidth="1"/>
    <col min="9002" max="9002" width="13.7109375" style="92" bestFit="1" customWidth="1"/>
    <col min="9003" max="9003" width="14.140625" style="92" bestFit="1" customWidth="1"/>
    <col min="9004" max="9004" width="14" style="92" bestFit="1" customWidth="1"/>
    <col min="9005" max="9005" width="14.85546875" style="92" bestFit="1" customWidth="1"/>
    <col min="9006" max="9006" width="15.7109375" style="92" customWidth="1"/>
    <col min="9007" max="9007" width="5.85546875" style="92" customWidth="1"/>
    <col min="9008" max="9008" width="9.28515625" style="92" customWidth="1"/>
    <col min="9009" max="9009" width="14.85546875" style="92" customWidth="1"/>
    <col min="9010" max="9010" width="12.85546875" style="92" bestFit="1" customWidth="1"/>
    <col min="9011" max="9011" width="12.85546875" style="92" customWidth="1"/>
    <col min="9012" max="9029" width="8.85546875" style="92" customWidth="1"/>
    <col min="9030" max="9030" width="30.28515625" style="92" bestFit="1" customWidth="1"/>
    <col min="9031" max="9031" width="20.7109375" style="92" customWidth="1"/>
    <col min="9032" max="9032" width="13.42578125" style="92" customWidth="1"/>
    <col min="9033" max="9033" width="8.85546875" style="92" customWidth="1"/>
    <col min="9034" max="9034" width="11.7109375" style="92" bestFit="1" customWidth="1"/>
    <col min="9035" max="9202" width="8.85546875" style="92" customWidth="1"/>
    <col min="9203" max="9203" width="29.7109375" style="92" customWidth="1"/>
    <col min="9204" max="9206" width="14.28515625" style="92" customWidth="1"/>
    <col min="9207" max="9207" width="2.7109375" style="92" customWidth="1"/>
    <col min="9208" max="9211" width="14.28515625" style="92"/>
    <col min="9212" max="9212" width="9.28515625" style="92" bestFit="1" customWidth="1"/>
    <col min="9213" max="9213" width="48.140625" style="92" customWidth="1"/>
    <col min="9214" max="9214" width="15.85546875" style="92" bestFit="1" customWidth="1"/>
    <col min="9215" max="9215" width="14.85546875" style="92" bestFit="1" customWidth="1"/>
    <col min="9216" max="9216" width="14.7109375" style="92" bestFit="1" customWidth="1"/>
    <col min="9217" max="9217" width="2.7109375" style="92" customWidth="1"/>
    <col min="9218" max="9218" width="15.85546875" style="92" bestFit="1" customWidth="1"/>
    <col min="9219" max="9220" width="14.5703125" style="92" bestFit="1" customWidth="1"/>
    <col min="9221" max="9221" width="2.7109375" style="92" customWidth="1"/>
    <col min="9222" max="9222" width="15.7109375" style="92" bestFit="1" customWidth="1"/>
    <col min="9223" max="9223" width="13.7109375" style="92" bestFit="1" customWidth="1"/>
    <col min="9224" max="9224" width="13.42578125" style="92" bestFit="1" customWidth="1"/>
    <col min="9225" max="9235" width="10.5703125" style="92" bestFit="1" customWidth="1"/>
    <col min="9236" max="9236" width="13.5703125" style="92" customWidth="1"/>
    <col min="9237" max="9237" width="16.5703125" style="92" customWidth="1"/>
    <col min="9238" max="9238" width="14.42578125" style="92" customWidth="1"/>
    <col min="9239" max="9239" width="13.28515625" style="92" bestFit="1" customWidth="1"/>
    <col min="9240" max="9240" width="13.42578125" style="92" bestFit="1" customWidth="1"/>
    <col min="9241" max="9241" width="13" style="92" customWidth="1"/>
    <col min="9242" max="9242" width="11.5703125" style="92" customWidth="1"/>
    <col min="9243" max="9243" width="13.140625" style="92" customWidth="1"/>
    <col min="9244" max="9245" width="11.5703125" style="92" customWidth="1"/>
    <col min="9246" max="9246" width="12.42578125" style="92" customWidth="1"/>
    <col min="9247" max="9247" width="13.5703125" style="92" customWidth="1"/>
    <col min="9248" max="9248" width="13.140625" style="92" bestFit="1" customWidth="1"/>
    <col min="9249" max="9249" width="18.85546875" style="92" customWidth="1"/>
    <col min="9250" max="9251" width="14.140625" style="92" customWidth="1"/>
    <col min="9252" max="9252" width="13.85546875" style="92" customWidth="1"/>
    <col min="9253" max="9253" width="14.140625" style="92" customWidth="1"/>
    <col min="9254" max="9254" width="13.7109375" style="92" customWidth="1"/>
    <col min="9255" max="9255" width="17.140625" style="92" customWidth="1"/>
    <col min="9256" max="9256" width="15.42578125" style="92" customWidth="1"/>
    <col min="9257" max="9257" width="18" style="92" customWidth="1"/>
    <col min="9258" max="9258" width="13.7109375" style="92" bestFit="1" customWidth="1"/>
    <col min="9259" max="9259" width="14.140625" style="92" bestFit="1" customWidth="1"/>
    <col min="9260" max="9260" width="14" style="92" bestFit="1" customWidth="1"/>
    <col min="9261" max="9261" width="14.85546875" style="92" bestFit="1" customWidth="1"/>
    <col min="9262" max="9262" width="15.7109375" style="92" customWidth="1"/>
    <col min="9263" max="9263" width="5.85546875" style="92" customWidth="1"/>
    <col min="9264" max="9264" width="9.28515625" style="92" customWidth="1"/>
    <col min="9265" max="9265" width="14.85546875" style="92" customWidth="1"/>
    <col min="9266" max="9266" width="12.85546875" style="92" bestFit="1" customWidth="1"/>
    <col min="9267" max="9267" width="12.85546875" style="92" customWidth="1"/>
    <col min="9268" max="9285" width="8.85546875" style="92" customWidth="1"/>
    <col min="9286" max="9286" width="30.28515625" style="92" bestFit="1" customWidth="1"/>
    <col min="9287" max="9287" width="20.7109375" style="92" customWidth="1"/>
    <col min="9288" max="9288" width="13.42578125" style="92" customWidth="1"/>
    <col min="9289" max="9289" width="8.85546875" style="92" customWidth="1"/>
    <col min="9290" max="9290" width="11.7109375" style="92" bestFit="1" customWidth="1"/>
    <col min="9291" max="9458" width="8.85546875" style="92" customWidth="1"/>
    <col min="9459" max="9459" width="29.7109375" style="92" customWidth="1"/>
    <col min="9460" max="9462" width="14.28515625" style="92" customWidth="1"/>
    <col min="9463" max="9463" width="2.7109375" style="92" customWidth="1"/>
    <col min="9464" max="9467" width="14.28515625" style="92"/>
    <col min="9468" max="9468" width="9.28515625" style="92" bestFit="1" customWidth="1"/>
    <col min="9469" max="9469" width="48.140625" style="92" customWidth="1"/>
    <col min="9470" max="9470" width="15.85546875" style="92" bestFit="1" customWidth="1"/>
    <col min="9471" max="9471" width="14.85546875" style="92" bestFit="1" customWidth="1"/>
    <col min="9472" max="9472" width="14.7109375" style="92" bestFit="1" customWidth="1"/>
    <col min="9473" max="9473" width="2.7109375" style="92" customWidth="1"/>
    <col min="9474" max="9474" width="15.85546875" style="92" bestFit="1" customWidth="1"/>
    <col min="9475" max="9476" width="14.5703125" style="92" bestFit="1" customWidth="1"/>
    <col min="9477" max="9477" width="2.7109375" style="92" customWidth="1"/>
    <col min="9478" max="9478" width="15.7109375" style="92" bestFit="1" customWidth="1"/>
    <col min="9479" max="9479" width="13.7109375" style="92" bestFit="1" customWidth="1"/>
    <col min="9480" max="9480" width="13.42578125" style="92" bestFit="1" customWidth="1"/>
    <col min="9481" max="9491" width="10.5703125" style="92" bestFit="1" customWidth="1"/>
    <col min="9492" max="9492" width="13.5703125" style="92" customWidth="1"/>
    <col min="9493" max="9493" width="16.5703125" style="92" customWidth="1"/>
    <col min="9494" max="9494" width="14.42578125" style="92" customWidth="1"/>
    <col min="9495" max="9495" width="13.28515625" style="92" bestFit="1" customWidth="1"/>
    <col min="9496" max="9496" width="13.42578125" style="92" bestFit="1" customWidth="1"/>
    <col min="9497" max="9497" width="13" style="92" customWidth="1"/>
    <col min="9498" max="9498" width="11.5703125" style="92" customWidth="1"/>
    <col min="9499" max="9499" width="13.140625" style="92" customWidth="1"/>
    <col min="9500" max="9501" width="11.5703125" style="92" customWidth="1"/>
    <col min="9502" max="9502" width="12.42578125" style="92" customWidth="1"/>
    <col min="9503" max="9503" width="13.5703125" style="92" customWidth="1"/>
    <col min="9504" max="9504" width="13.140625" style="92" bestFit="1" customWidth="1"/>
    <col min="9505" max="9505" width="18.85546875" style="92" customWidth="1"/>
    <col min="9506" max="9507" width="14.140625" style="92" customWidth="1"/>
    <col min="9508" max="9508" width="13.85546875" style="92" customWidth="1"/>
    <col min="9509" max="9509" width="14.140625" style="92" customWidth="1"/>
    <col min="9510" max="9510" width="13.7109375" style="92" customWidth="1"/>
    <col min="9511" max="9511" width="17.140625" style="92" customWidth="1"/>
    <col min="9512" max="9512" width="15.42578125" style="92" customWidth="1"/>
    <col min="9513" max="9513" width="18" style="92" customWidth="1"/>
    <col min="9514" max="9514" width="13.7109375" style="92" bestFit="1" customWidth="1"/>
    <col min="9515" max="9515" width="14.140625" style="92" bestFit="1" customWidth="1"/>
    <col min="9516" max="9516" width="14" style="92" bestFit="1" customWidth="1"/>
    <col min="9517" max="9517" width="14.85546875" style="92" bestFit="1" customWidth="1"/>
    <col min="9518" max="9518" width="15.7109375" style="92" customWidth="1"/>
    <col min="9519" max="9519" width="5.85546875" style="92" customWidth="1"/>
    <col min="9520" max="9520" width="9.28515625" style="92" customWidth="1"/>
    <col min="9521" max="9521" width="14.85546875" style="92" customWidth="1"/>
    <col min="9522" max="9522" width="12.85546875" style="92" bestFit="1" customWidth="1"/>
    <col min="9523" max="9523" width="12.85546875" style="92" customWidth="1"/>
    <col min="9524" max="9541" width="8.85546875" style="92" customWidth="1"/>
    <col min="9542" max="9542" width="30.28515625" style="92" bestFit="1" customWidth="1"/>
    <col min="9543" max="9543" width="20.7109375" style="92" customWidth="1"/>
    <col min="9544" max="9544" width="13.42578125" style="92" customWidth="1"/>
    <col min="9545" max="9545" width="8.85546875" style="92" customWidth="1"/>
    <col min="9546" max="9546" width="11.7109375" style="92" bestFit="1" customWidth="1"/>
    <col min="9547" max="9714" width="8.85546875" style="92" customWidth="1"/>
    <col min="9715" max="9715" width="29.7109375" style="92" customWidth="1"/>
    <col min="9716" max="9718" width="14.28515625" style="92" customWidth="1"/>
    <col min="9719" max="9719" width="2.7109375" style="92" customWidth="1"/>
    <col min="9720" max="9723" width="14.28515625" style="92"/>
    <col min="9724" max="9724" width="9.28515625" style="92" bestFit="1" customWidth="1"/>
    <col min="9725" max="9725" width="48.140625" style="92" customWidth="1"/>
    <col min="9726" max="9726" width="15.85546875" style="92" bestFit="1" customWidth="1"/>
    <col min="9727" max="9727" width="14.85546875" style="92" bestFit="1" customWidth="1"/>
    <col min="9728" max="9728" width="14.7109375" style="92" bestFit="1" customWidth="1"/>
    <col min="9729" max="9729" width="2.7109375" style="92" customWidth="1"/>
    <col min="9730" max="9730" width="15.85546875" style="92" bestFit="1" customWidth="1"/>
    <col min="9731" max="9732" width="14.5703125" style="92" bestFit="1" customWidth="1"/>
    <col min="9733" max="9733" width="2.7109375" style="92" customWidth="1"/>
    <col min="9734" max="9734" width="15.7109375" style="92" bestFit="1" customWidth="1"/>
    <col min="9735" max="9735" width="13.7109375" style="92" bestFit="1" customWidth="1"/>
    <col min="9736" max="9736" width="13.42578125" style="92" bestFit="1" customWidth="1"/>
    <col min="9737" max="9747" width="10.5703125" style="92" bestFit="1" customWidth="1"/>
    <col min="9748" max="9748" width="13.5703125" style="92" customWidth="1"/>
    <col min="9749" max="9749" width="16.5703125" style="92" customWidth="1"/>
    <col min="9750" max="9750" width="14.42578125" style="92" customWidth="1"/>
    <col min="9751" max="9751" width="13.28515625" style="92" bestFit="1" customWidth="1"/>
    <col min="9752" max="9752" width="13.42578125" style="92" bestFit="1" customWidth="1"/>
    <col min="9753" max="9753" width="13" style="92" customWidth="1"/>
    <col min="9754" max="9754" width="11.5703125" style="92" customWidth="1"/>
    <col min="9755" max="9755" width="13.140625" style="92" customWidth="1"/>
    <col min="9756" max="9757" width="11.5703125" style="92" customWidth="1"/>
    <col min="9758" max="9758" width="12.42578125" style="92" customWidth="1"/>
    <col min="9759" max="9759" width="13.5703125" style="92" customWidth="1"/>
    <col min="9760" max="9760" width="13.140625" style="92" bestFit="1" customWidth="1"/>
    <col min="9761" max="9761" width="18.85546875" style="92" customWidth="1"/>
    <col min="9762" max="9763" width="14.140625" style="92" customWidth="1"/>
    <col min="9764" max="9764" width="13.85546875" style="92" customWidth="1"/>
    <col min="9765" max="9765" width="14.140625" style="92" customWidth="1"/>
    <col min="9766" max="9766" width="13.7109375" style="92" customWidth="1"/>
    <col min="9767" max="9767" width="17.140625" style="92" customWidth="1"/>
    <col min="9768" max="9768" width="15.42578125" style="92" customWidth="1"/>
    <col min="9769" max="9769" width="18" style="92" customWidth="1"/>
    <col min="9770" max="9770" width="13.7109375" style="92" bestFit="1" customWidth="1"/>
    <col min="9771" max="9771" width="14.140625" style="92" bestFit="1" customWidth="1"/>
    <col min="9772" max="9772" width="14" style="92" bestFit="1" customWidth="1"/>
    <col min="9773" max="9773" width="14.85546875" style="92" bestFit="1" customWidth="1"/>
    <col min="9774" max="9774" width="15.7109375" style="92" customWidth="1"/>
    <col min="9775" max="9775" width="5.85546875" style="92" customWidth="1"/>
    <col min="9776" max="9776" width="9.28515625" style="92" customWidth="1"/>
    <col min="9777" max="9777" width="14.85546875" style="92" customWidth="1"/>
    <col min="9778" max="9778" width="12.85546875" style="92" bestFit="1" customWidth="1"/>
    <col min="9779" max="9779" width="12.85546875" style="92" customWidth="1"/>
    <col min="9780" max="9797" width="8.85546875" style="92" customWidth="1"/>
    <col min="9798" max="9798" width="30.28515625" style="92" bestFit="1" customWidth="1"/>
    <col min="9799" max="9799" width="20.7109375" style="92" customWidth="1"/>
    <col min="9800" max="9800" width="13.42578125" style="92" customWidth="1"/>
    <col min="9801" max="9801" width="8.85546875" style="92" customWidth="1"/>
    <col min="9802" max="9802" width="11.7109375" style="92" bestFit="1" customWidth="1"/>
    <col min="9803" max="9970" width="8.85546875" style="92" customWidth="1"/>
    <col min="9971" max="9971" width="29.7109375" style="92" customWidth="1"/>
    <col min="9972" max="9974" width="14.28515625" style="92" customWidth="1"/>
    <col min="9975" max="9975" width="2.7109375" style="92" customWidth="1"/>
    <col min="9976" max="9979" width="14.28515625" style="92"/>
    <col min="9980" max="9980" width="9.28515625" style="92" bestFit="1" customWidth="1"/>
    <col min="9981" max="9981" width="48.140625" style="92" customWidth="1"/>
    <col min="9982" max="9982" width="15.85546875" style="92" bestFit="1" customWidth="1"/>
    <col min="9983" max="9983" width="14.85546875" style="92" bestFit="1" customWidth="1"/>
    <col min="9984" max="9984" width="14.7109375" style="92" bestFit="1" customWidth="1"/>
    <col min="9985" max="9985" width="2.7109375" style="92" customWidth="1"/>
    <col min="9986" max="9986" width="15.85546875" style="92" bestFit="1" customWidth="1"/>
    <col min="9987" max="9988" width="14.5703125" style="92" bestFit="1" customWidth="1"/>
    <col min="9989" max="9989" width="2.7109375" style="92" customWidth="1"/>
    <col min="9990" max="9990" width="15.7109375" style="92" bestFit="1" customWidth="1"/>
    <col min="9991" max="9991" width="13.7109375" style="92" bestFit="1" customWidth="1"/>
    <col min="9992" max="9992" width="13.42578125" style="92" bestFit="1" customWidth="1"/>
    <col min="9993" max="10003" width="10.5703125" style="92" bestFit="1" customWidth="1"/>
    <col min="10004" max="10004" width="13.5703125" style="92" customWidth="1"/>
    <col min="10005" max="10005" width="16.5703125" style="92" customWidth="1"/>
    <col min="10006" max="10006" width="14.42578125" style="92" customWidth="1"/>
    <col min="10007" max="10007" width="13.28515625" style="92" bestFit="1" customWidth="1"/>
    <col min="10008" max="10008" width="13.42578125" style="92" bestFit="1" customWidth="1"/>
    <col min="10009" max="10009" width="13" style="92" customWidth="1"/>
    <col min="10010" max="10010" width="11.5703125" style="92" customWidth="1"/>
    <col min="10011" max="10011" width="13.140625" style="92" customWidth="1"/>
    <col min="10012" max="10013" width="11.5703125" style="92" customWidth="1"/>
    <col min="10014" max="10014" width="12.42578125" style="92" customWidth="1"/>
    <col min="10015" max="10015" width="13.5703125" style="92" customWidth="1"/>
    <col min="10016" max="10016" width="13.140625" style="92" bestFit="1" customWidth="1"/>
    <col min="10017" max="10017" width="18.85546875" style="92" customWidth="1"/>
    <col min="10018" max="10019" width="14.140625" style="92" customWidth="1"/>
    <col min="10020" max="10020" width="13.85546875" style="92" customWidth="1"/>
    <col min="10021" max="10021" width="14.140625" style="92" customWidth="1"/>
    <col min="10022" max="10022" width="13.7109375" style="92" customWidth="1"/>
    <col min="10023" max="10023" width="17.140625" style="92" customWidth="1"/>
    <col min="10024" max="10024" width="15.42578125" style="92" customWidth="1"/>
    <col min="10025" max="10025" width="18" style="92" customWidth="1"/>
    <col min="10026" max="10026" width="13.7109375" style="92" bestFit="1" customWidth="1"/>
    <col min="10027" max="10027" width="14.140625" style="92" bestFit="1" customWidth="1"/>
    <col min="10028" max="10028" width="14" style="92" bestFit="1" customWidth="1"/>
    <col min="10029" max="10029" width="14.85546875" style="92" bestFit="1" customWidth="1"/>
    <col min="10030" max="10030" width="15.7109375" style="92" customWidth="1"/>
    <col min="10031" max="10031" width="5.85546875" style="92" customWidth="1"/>
    <col min="10032" max="10032" width="9.28515625" style="92" customWidth="1"/>
    <col min="10033" max="10033" width="14.85546875" style="92" customWidth="1"/>
    <col min="10034" max="10034" width="12.85546875" style="92" bestFit="1" customWidth="1"/>
    <col min="10035" max="10035" width="12.85546875" style="92" customWidth="1"/>
    <col min="10036" max="10053" width="8.85546875" style="92" customWidth="1"/>
    <col min="10054" max="10054" width="30.28515625" style="92" bestFit="1" customWidth="1"/>
    <col min="10055" max="10055" width="20.7109375" style="92" customWidth="1"/>
    <col min="10056" max="10056" width="13.42578125" style="92" customWidth="1"/>
    <col min="10057" max="10057" width="8.85546875" style="92" customWidth="1"/>
    <col min="10058" max="10058" width="11.7109375" style="92" bestFit="1" customWidth="1"/>
    <col min="10059" max="10226" width="8.85546875" style="92" customWidth="1"/>
    <col min="10227" max="10227" width="29.7109375" style="92" customWidth="1"/>
    <col min="10228" max="10230" width="14.28515625" style="92" customWidth="1"/>
    <col min="10231" max="10231" width="2.7109375" style="92" customWidth="1"/>
    <col min="10232" max="10235" width="14.28515625" style="92"/>
    <col min="10236" max="10236" width="9.28515625" style="92" bestFit="1" customWidth="1"/>
    <col min="10237" max="10237" width="48.140625" style="92" customWidth="1"/>
    <col min="10238" max="10238" width="15.85546875" style="92" bestFit="1" customWidth="1"/>
    <col min="10239" max="10239" width="14.85546875" style="92" bestFit="1" customWidth="1"/>
    <col min="10240" max="10240" width="14.7109375" style="92" bestFit="1" customWidth="1"/>
    <col min="10241" max="10241" width="2.7109375" style="92" customWidth="1"/>
    <col min="10242" max="10242" width="15.85546875" style="92" bestFit="1" customWidth="1"/>
    <col min="10243" max="10244" width="14.5703125" style="92" bestFit="1" customWidth="1"/>
    <col min="10245" max="10245" width="2.7109375" style="92" customWidth="1"/>
    <col min="10246" max="10246" width="15.7109375" style="92" bestFit="1" customWidth="1"/>
    <col min="10247" max="10247" width="13.7109375" style="92" bestFit="1" customWidth="1"/>
    <col min="10248" max="10248" width="13.42578125" style="92" bestFit="1" customWidth="1"/>
    <col min="10249" max="10259" width="10.5703125" style="92" bestFit="1" customWidth="1"/>
    <col min="10260" max="10260" width="13.5703125" style="92" customWidth="1"/>
    <col min="10261" max="10261" width="16.5703125" style="92" customWidth="1"/>
    <col min="10262" max="10262" width="14.42578125" style="92" customWidth="1"/>
    <col min="10263" max="10263" width="13.28515625" style="92" bestFit="1" customWidth="1"/>
    <col min="10264" max="10264" width="13.42578125" style="92" bestFit="1" customWidth="1"/>
    <col min="10265" max="10265" width="13" style="92" customWidth="1"/>
    <col min="10266" max="10266" width="11.5703125" style="92" customWidth="1"/>
    <col min="10267" max="10267" width="13.140625" style="92" customWidth="1"/>
    <col min="10268" max="10269" width="11.5703125" style="92" customWidth="1"/>
    <col min="10270" max="10270" width="12.42578125" style="92" customWidth="1"/>
    <col min="10271" max="10271" width="13.5703125" style="92" customWidth="1"/>
    <col min="10272" max="10272" width="13.140625" style="92" bestFit="1" customWidth="1"/>
    <col min="10273" max="10273" width="18.85546875" style="92" customWidth="1"/>
    <col min="10274" max="10275" width="14.140625" style="92" customWidth="1"/>
    <col min="10276" max="10276" width="13.85546875" style="92" customWidth="1"/>
    <col min="10277" max="10277" width="14.140625" style="92" customWidth="1"/>
    <col min="10278" max="10278" width="13.7109375" style="92" customWidth="1"/>
    <col min="10279" max="10279" width="17.140625" style="92" customWidth="1"/>
    <col min="10280" max="10280" width="15.42578125" style="92" customWidth="1"/>
    <col min="10281" max="10281" width="18" style="92" customWidth="1"/>
    <col min="10282" max="10282" width="13.7109375" style="92" bestFit="1" customWidth="1"/>
    <col min="10283" max="10283" width="14.140625" style="92" bestFit="1" customWidth="1"/>
    <col min="10284" max="10284" width="14" style="92" bestFit="1" customWidth="1"/>
    <col min="10285" max="10285" width="14.85546875" style="92" bestFit="1" customWidth="1"/>
    <col min="10286" max="10286" width="15.7109375" style="92" customWidth="1"/>
    <col min="10287" max="10287" width="5.85546875" style="92" customWidth="1"/>
    <col min="10288" max="10288" width="9.28515625" style="92" customWidth="1"/>
    <col min="10289" max="10289" width="14.85546875" style="92" customWidth="1"/>
    <col min="10290" max="10290" width="12.85546875" style="92" bestFit="1" customWidth="1"/>
    <col min="10291" max="10291" width="12.85546875" style="92" customWidth="1"/>
    <col min="10292" max="10309" width="8.85546875" style="92" customWidth="1"/>
    <col min="10310" max="10310" width="30.28515625" style="92" bestFit="1" customWidth="1"/>
    <col min="10311" max="10311" width="20.7109375" style="92" customWidth="1"/>
    <col min="10312" max="10312" width="13.42578125" style="92" customWidth="1"/>
    <col min="10313" max="10313" width="8.85546875" style="92" customWidth="1"/>
    <col min="10314" max="10314" width="11.7109375" style="92" bestFit="1" customWidth="1"/>
    <col min="10315" max="10482" width="8.85546875" style="92" customWidth="1"/>
    <col min="10483" max="10483" width="29.7109375" style="92" customWidth="1"/>
    <col min="10484" max="10486" width="14.28515625" style="92" customWidth="1"/>
    <col min="10487" max="10487" width="2.7109375" style="92" customWidth="1"/>
    <col min="10488" max="10491" width="14.28515625" style="92"/>
    <col min="10492" max="10492" width="9.28515625" style="92" bestFit="1" customWidth="1"/>
    <col min="10493" max="10493" width="48.140625" style="92" customWidth="1"/>
    <col min="10494" max="10494" width="15.85546875" style="92" bestFit="1" customWidth="1"/>
    <col min="10495" max="10495" width="14.85546875" style="92" bestFit="1" customWidth="1"/>
    <col min="10496" max="10496" width="14.7109375" style="92" bestFit="1" customWidth="1"/>
    <col min="10497" max="10497" width="2.7109375" style="92" customWidth="1"/>
    <col min="10498" max="10498" width="15.85546875" style="92" bestFit="1" customWidth="1"/>
    <col min="10499" max="10500" width="14.5703125" style="92" bestFit="1" customWidth="1"/>
    <col min="10501" max="10501" width="2.7109375" style="92" customWidth="1"/>
    <col min="10502" max="10502" width="15.7109375" style="92" bestFit="1" customWidth="1"/>
    <col min="10503" max="10503" width="13.7109375" style="92" bestFit="1" customWidth="1"/>
    <col min="10504" max="10504" width="13.42578125" style="92" bestFit="1" customWidth="1"/>
    <col min="10505" max="10515" width="10.5703125" style="92" bestFit="1" customWidth="1"/>
    <col min="10516" max="10516" width="13.5703125" style="92" customWidth="1"/>
    <col min="10517" max="10517" width="16.5703125" style="92" customWidth="1"/>
    <col min="10518" max="10518" width="14.42578125" style="92" customWidth="1"/>
    <col min="10519" max="10519" width="13.28515625" style="92" bestFit="1" customWidth="1"/>
    <col min="10520" max="10520" width="13.42578125" style="92" bestFit="1" customWidth="1"/>
    <col min="10521" max="10521" width="13" style="92" customWidth="1"/>
    <col min="10522" max="10522" width="11.5703125" style="92" customWidth="1"/>
    <col min="10523" max="10523" width="13.140625" style="92" customWidth="1"/>
    <col min="10524" max="10525" width="11.5703125" style="92" customWidth="1"/>
    <col min="10526" max="10526" width="12.42578125" style="92" customWidth="1"/>
    <col min="10527" max="10527" width="13.5703125" style="92" customWidth="1"/>
    <col min="10528" max="10528" width="13.140625" style="92" bestFit="1" customWidth="1"/>
    <col min="10529" max="10529" width="18.85546875" style="92" customWidth="1"/>
    <col min="10530" max="10531" width="14.140625" style="92" customWidth="1"/>
    <col min="10532" max="10532" width="13.85546875" style="92" customWidth="1"/>
    <col min="10533" max="10533" width="14.140625" style="92" customWidth="1"/>
    <col min="10534" max="10534" width="13.7109375" style="92" customWidth="1"/>
    <col min="10535" max="10535" width="17.140625" style="92" customWidth="1"/>
    <col min="10536" max="10536" width="15.42578125" style="92" customWidth="1"/>
    <col min="10537" max="10537" width="18" style="92" customWidth="1"/>
    <col min="10538" max="10538" width="13.7109375" style="92" bestFit="1" customWidth="1"/>
    <col min="10539" max="10539" width="14.140625" style="92" bestFit="1" customWidth="1"/>
    <col min="10540" max="10540" width="14" style="92" bestFit="1" customWidth="1"/>
    <col min="10541" max="10541" width="14.85546875" style="92" bestFit="1" customWidth="1"/>
    <col min="10542" max="10542" width="15.7109375" style="92" customWidth="1"/>
    <col min="10543" max="10543" width="5.85546875" style="92" customWidth="1"/>
    <col min="10544" max="10544" width="9.28515625" style="92" customWidth="1"/>
    <col min="10545" max="10545" width="14.85546875" style="92" customWidth="1"/>
    <col min="10546" max="10546" width="12.85546875" style="92" bestFit="1" customWidth="1"/>
    <col min="10547" max="10547" width="12.85546875" style="92" customWidth="1"/>
    <col min="10548" max="10565" width="8.85546875" style="92" customWidth="1"/>
    <col min="10566" max="10566" width="30.28515625" style="92" bestFit="1" customWidth="1"/>
    <col min="10567" max="10567" width="20.7109375" style="92" customWidth="1"/>
    <col min="10568" max="10568" width="13.42578125" style="92" customWidth="1"/>
    <col min="10569" max="10569" width="8.85546875" style="92" customWidth="1"/>
    <col min="10570" max="10570" width="11.7109375" style="92" bestFit="1" customWidth="1"/>
    <col min="10571" max="10738" width="8.85546875" style="92" customWidth="1"/>
    <col min="10739" max="10739" width="29.7109375" style="92" customWidth="1"/>
    <col min="10740" max="10742" width="14.28515625" style="92" customWidth="1"/>
    <col min="10743" max="10743" width="2.7109375" style="92" customWidth="1"/>
    <col min="10744" max="10747" width="14.28515625" style="92"/>
    <col min="10748" max="10748" width="9.28515625" style="92" bestFit="1" customWidth="1"/>
    <col min="10749" max="10749" width="48.140625" style="92" customWidth="1"/>
    <col min="10750" max="10750" width="15.85546875" style="92" bestFit="1" customWidth="1"/>
    <col min="10751" max="10751" width="14.85546875" style="92" bestFit="1" customWidth="1"/>
    <col min="10752" max="10752" width="14.7109375" style="92" bestFit="1" customWidth="1"/>
    <col min="10753" max="10753" width="2.7109375" style="92" customWidth="1"/>
    <col min="10754" max="10754" width="15.85546875" style="92" bestFit="1" customWidth="1"/>
    <col min="10755" max="10756" width="14.5703125" style="92" bestFit="1" customWidth="1"/>
    <col min="10757" max="10757" width="2.7109375" style="92" customWidth="1"/>
    <col min="10758" max="10758" width="15.7109375" style="92" bestFit="1" customWidth="1"/>
    <col min="10759" max="10759" width="13.7109375" style="92" bestFit="1" customWidth="1"/>
    <col min="10760" max="10760" width="13.42578125" style="92" bestFit="1" customWidth="1"/>
    <col min="10761" max="10771" width="10.5703125" style="92" bestFit="1" customWidth="1"/>
    <col min="10772" max="10772" width="13.5703125" style="92" customWidth="1"/>
    <col min="10773" max="10773" width="16.5703125" style="92" customWidth="1"/>
    <col min="10774" max="10774" width="14.42578125" style="92" customWidth="1"/>
    <col min="10775" max="10775" width="13.28515625" style="92" bestFit="1" customWidth="1"/>
    <col min="10776" max="10776" width="13.42578125" style="92" bestFit="1" customWidth="1"/>
    <col min="10777" max="10777" width="13" style="92" customWidth="1"/>
    <col min="10778" max="10778" width="11.5703125" style="92" customWidth="1"/>
    <col min="10779" max="10779" width="13.140625" style="92" customWidth="1"/>
    <col min="10780" max="10781" width="11.5703125" style="92" customWidth="1"/>
    <col min="10782" max="10782" width="12.42578125" style="92" customWidth="1"/>
    <col min="10783" max="10783" width="13.5703125" style="92" customWidth="1"/>
    <col min="10784" max="10784" width="13.140625" style="92" bestFit="1" customWidth="1"/>
    <col min="10785" max="10785" width="18.85546875" style="92" customWidth="1"/>
    <col min="10786" max="10787" width="14.140625" style="92" customWidth="1"/>
    <col min="10788" max="10788" width="13.85546875" style="92" customWidth="1"/>
    <col min="10789" max="10789" width="14.140625" style="92" customWidth="1"/>
    <col min="10790" max="10790" width="13.7109375" style="92" customWidth="1"/>
    <col min="10791" max="10791" width="17.140625" style="92" customWidth="1"/>
    <col min="10792" max="10792" width="15.42578125" style="92" customWidth="1"/>
    <col min="10793" max="10793" width="18" style="92" customWidth="1"/>
    <col min="10794" max="10794" width="13.7109375" style="92" bestFit="1" customWidth="1"/>
    <col min="10795" max="10795" width="14.140625" style="92" bestFit="1" customWidth="1"/>
    <col min="10796" max="10796" width="14" style="92" bestFit="1" customWidth="1"/>
    <col min="10797" max="10797" width="14.85546875" style="92" bestFit="1" customWidth="1"/>
    <col min="10798" max="10798" width="15.7109375" style="92" customWidth="1"/>
    <col min="10799" max="10799" width="5.85546875" style="92" customWidth="1"/>
    <col min="10800" max="10800" width="9.28515625" style="92" customWidth="1"/>
    <col min="10801" max="10801" width="14.85546875" style="92" customWidth="1"/>
    <col min="10802" max="10802" width="12.85546875" style="92" bestFit="1" customWidth="1"/>
    <col min="10803" max="10803" width="12.85546875" style="92" customWidth="1"/>
    <col min="10804" max="10821" width="8.85546875" style="92" customWidth="1"/>
    <col min="10822" max="10822" width="30.28515625" style="92" bestFit="1" customWidth="1"/>
    <col min="10823" max="10823" width="20.7109375" style="92" customWidth="1"/>
    <col min="10824" max="10824" width="13.42578125" style="92" customWidth="1"/>
    <col min="10825" max="10825" width="8.85546875" style="92" customWidth="1"/>
    <col min="10826" max="10826" width="11.7109375" style="92" bestFit="1" customWidth="1"/>
    <col min="10827" max="10994" width="8.85546875" style="92" customWidth="1"/>
    <col min="10995" max="10995" width="29.7109375" style="92" customWidth="1"/>
    <col min="10996" max="10998" width="14.28515625" style="92" customWidth="1"/>
    <col min="10999" max="10999" width="2.7109375" style="92" customWidth="1"/>
    <col min="11000" max="11003" width="14.28515625" style="92"/>
    <col min="11004" max="11004" width="9.28515625" style="92" bestFit="1" customWidth="1"/>
    <col min="11005" max="11005" width="48.140625" style="92" customWidth="1"/>
    <col min="11006" max="11006" width="15.85546875" style="92" bestFit="1" customWidth="1"/>
    <col min="11007" max="11007" width="14.85546875" style="92" bestFit="1" customWidth="1"/>
    <col min="11008" max="11008" width="14.7109375" style="92" bestFit="1" customWidth="1"/>
    <col min="11009" max="11009" width="2.7109375" style="92" customWidth="1"/>
    <col min="11010" max="11010" width="15.85546875" style="92" bestFit="1" customWidth="1"/>
    <col min="11011" max="11012" width="14.5703125" style="92" bestFit="1" customWidth="1"/>
    <col min="11013" max="11013" width="2.7109375" style="92" customWidth="1"/>
    <col min="11014" max="11014" width="15.7109375" style="92" bestFit="1" customWidth="1"/>
    <col min="11015" max="11015" width="13.7109375" style="92" bestFit="1" customWidth="1"/>
    <col min="11016" max="11016" width="13.42578125" style="92" bestFit="1" customWidth="1"/>
    <col min="11017" max="11027" width="10.5703125" style="92" bestFit="1" customWidth="1"/>
    <col min="11028" max="11028" width="13.5703125" style="92" customWidth="1"/>
    <col min="11029" max="11029" width="16.5703125" style="92" customWidth="1"/>
    <col min="11030" max="11030" width="14.42578125" style="92" customWidth="1"/>
    <col min="11031" max="11031" width="13.28515625" style="92" bestFit="1" customWidth="1"/>
    <col min="11032" max="11032" width="13.42578125" style="92" bestFit="1" customWidth="1"/>
    <col min="11033" max="11033" width="13" style="92" customWidth="1"/>
    <col min="11034" max="11034" width="11.5703125" style="92" customWidth="1"/>
    <col min="11035" max="11035" width="13.140625" style="92" customWidth="1"/>
    <col min="11036" max="11037" width="11.5703125" style="92" customWidth="1"/>
    <col min="11038" max="11038" width="12.42578125" style="92" customWidth="1"/>
    <col min="11039" max="11039" width="13.5703125" style="92" customWidth="1"/>
    <col min="11040" max="11040" width="13.140625" style="92" bestFit="1" customWidth="1"/>
    <col min="11041" max="11041" width="18.85546875" style="92" customWidth="1"/>
    <col min="11042" max="11043" width="14.140625" style="92" customWidth="1"/>
    <col min="11044" max="11044" width="13.85546875" style="92" customWidth="1"/>
    <col min="11045" max="11045" width="14.140625" style="92" customWidth="1"/>
    <col min="11046" max="11046" width="13.7109375" style="92" customWidth="1"/>
    <col min="11047" max="11047" width="17.140625" style="92" customWidth="1"/>
    <col min="11048" max="11048" width="15.42578125" style="92" customWidth="1"/>
    <col min="11049" max="11049" width="18" style="92" customWidth="1"/>
    <col min="11050" max="11050" width="13.7109375" style="92" bestFit="1" customWidth="1"/>
    <col min="11051" max="11051" width="14.140625" style="92" bestFit="1" customWidth="1"/>
    <col min="11052" max="11052" width="14" style="92" bestFit="1" customWidth="1"/>
    <col min="11053" max="11053" width="14.85546875" style="92" bestFit="1" customWidth="1"/>
    <col min="11054" max="11054" width="15.7109375" style="92" customWidth="1"/>
    <col min="11055" max="11055" width="5.85546875" style="92" customWidth="1"/>
    <col min="11056" max="11056" width="9.28515625" style="92" customWidth="1"/>
    <col min="11057" max="11057" width="14.85546875" style="92" customWidth="1"/>
    <col min="11058" max="11058" width="12.85546875" style="92" bestFit="1" customWidth="1"/>
    <col min="11059" max="11059" width="12.85546875" style="92" customWidth="1"/>
    <col min="11060" max="11077" width="8.85546875" style="92" customWidth="1"/>
    <col min="11078" max="11078" width="30.28515625" style="92" bestFit="1" customWidth="1"/>
    <col min="11079" max="11079" width="20.7109375" style="92" customWidth="1"/>
    <col min="11080" max="11080" width="13.42578125" style="92" customWidth="1"/>
    <col min="11081" max="11081" width="8.85546875" style="92" customWidth="1"/>
    <col min="11082" max="11082" width="11.7109375" style="92" bestFit="1" customWidth="1"/>
    <col min="11083" max="11250" width="8.85546875" style="92" customWidth="1"/>
    <col min="11251" max="11251" width="29.7109375" style="92" customWidth="1"/>
    <col min="11252" max="11254" width="14.28515625" style="92" customWidth="1"/>
    <col min="11255" max="11255" width="2.7109375" style="92" customWidth="1"/>
    <col min="11256" max="11259" width="14.28515625" style="92"/>
    <col min="11260" max="11260" width="9.28515625" style="92" bestFit="1" customWidth="1"/>
    <col min="11261" max="11261" width="48.140625" style="92" customWidth="1"/>
    <col min="11262" max="11262" width="15.85546875" style="92" bestFit="1" customWidth="1"/>
    <col min="11263" max="11263" width="14.85546875" style="92" bestFit="1" customWidth="1"/>
    <col min="11264" max="11264" width="14.7109375" style="92" bestFit="1" customWidth="1"/>
    <col min="11265" max="11265" width="2.7109375" style="92" customWidth="1"/>
    <col min="11266" max="11266" width="15.85546875" style="92" bestFit="1" customWidth="1"/>
    <col min="11267" max="11268" width="14.5703125" style="92" bestFit="1" customWidth="1"/>
    <col min="11269" max="11269" width="2.7109375" style="92" customWidth="1"/>
    <col min="11270" max="11270" width="15.7109375" style="92" bestFit="1" customWidth="1"/>
    <col min="11271" max="11271" width="13.7109375" style="92" bestFit="1" customWidth="1"/>
    <col min="11272" max="11272" width="13.42578125" style="92" bestFit="1" customWidth="1"/>
    <col min="11273" max="11283" width="10.5703125" style="92" bestFit="1" customWidth="1"/>
    <col min="11284" max="11284" width="13.5703125" style="92" customWidth="1"/>
    <col min="11285" max="11285" width="16.5703125" style="92" customWidth="1"/>
    <col min="11286" max="11286" width="14.42578125" style="92" customWidth="1"/>
    <col min="11287" max="11287" width="13.28515625" style="92" bestFit="1" customWidth="1"/>
    <col min="11288" max="11288" width="13.42578125" style="92" bestFit="1" customWidth="1"/>
    <col min="11289" max="11289" width="13" style="92" customWidth="1"/>
    <col min="11290" max="11290" width="11.5703125" style="92" customWidth="1"/>
    <col min="11291" max="11291" width="13.140625" style="92" customWidth="1"/>
    <col min="11292" max="11293" width="11.5703125" style="92" customWidth="1"/>
    <col min="11294" max="11294" width="12.42578125" style="92" customWidth="1"/>
    <col min="11295" max="11295" width="13.5703125" style="92" customWidth="1"/>
    <col min="11296" max="11296" width="13.140625" style="92" bestFit="1" customWidth="1"/>
    <col min="11297" max="11297" width="18.85546875" style="92" customWidth="1"/>
    <col min="11298" max="11299" width="14.140625" style="92" customWidth="1"/>
    <col min="11300" max="11300" width="13.85546875" style="92" customWidth="1"/>
    <col min="11301" max="11301" width="14.140625" style="92" customWidth="1"/>
    <col min="11302" max="11302" width="13.7109375" style="92" customWidth="1"/>
    <col min="11303" max="11303" width="17.140625" style="92" customWidth="1"/>
    <col min="11304" max="11304" width="15.42578125" style="92" customWidth="1"/>
    <col min="11305" max="11305" width="18" style="92" customWidth="1"/>
    <col min="11306" max="11306" width="13.7109375" style="92" bestFit="1" customWidth="1"/>
    <col min="11307" max="11307" width="14.140625" style="92" bestFit="1" customWidth="1"/>
    <col min="11308" max="11308" width="14" style="92" bestFit="1" customWidth="1"/>
    <col min="11309" max="11309" width="14.85546875" style="92" bestFit="1" customWidth="1"/>
    <col min="11310" max="11310" width="15.7109375" style="92" customWidth="1"/>
    <col min="11311" max="11311" width="5.85546875" style="92" customWidth="1"/>
    <col min="11312" max="11312" width="9.28515625" style="92" customWidth="1"/>
    <col min="11313" max="11313" width="14.85546875" style="92" customWidth="1"/>
    <col min="11314" max="11314" width="12.85546875" style="92" bestFit="1" customWidth="1"/>
    <col min="11315" max="11315" width="12.85546875" style="92" customWidth="1"/>
    <col min="11316" max="11333" width="8.85546875" style="92" customWidth="1"/>
    <col min="11334" max="11334" width="30.28515625" style="92" bestFit="1" customWidth="1"/>
    <col min="11335" max="11335" width="20.7109375" style="92" customWidth="1"/>
    <col min="11336" max="11336" width="13.42578125" style="92" customWidth="1"/>
    <col min="11337" max="11337" width="8.85546875" style="92" customWidth="1"/>
    <col min="11338" max="11338" width="11.7109375" style="92" bestFit="1" customWidth="1"/>
    <col min="11339" max="11506" width="8.85546875" style="92" customWidth="1"/>
    <col min="11507" max="11507" width="29.7109375" style="92" customWidth="1"/>
    <col min="11508" max="11510" width="14.28515625" style="92" customWidth="1"/>
    <col min="11511" max="11511" width="2.7109375" style="92" customWidth="1"/>
    <col min="11512" max="11515" width="14.28515625" style="92"/>
    <col min="11516" max="11516" width="9.28515625" style="92" bestFit="1" customWidth="1"/>
    <col min="11517" max="11517" width="48.140625" style="92" customWidth="1"/>
    <col min="11518" max="11518" width="15.85546875" style="92" bestFit="1" customWidth="1"/>
    <col min="11519" max="11519" width="14.85546875" style="92" bestFit="1" customWidth="1"/>
    <col min="11520" max="11520" width="14.7109375" style="92" bestFit="1" customWidth="1"/>
    <col min="11521" max="11521" width="2.7109375" style="92" customWidth="1"/>
    <col min="11522" max="11522" width="15.85546875" style="92" bestFit="1" customWidth="1"/>
    <col min="11523" max="11524" width="14.5703125" style="92" bestFit="1" customWidth="1"/>
    <col min="11525" max="11525" width="2.7109375" style="92" customWidth="1"/>
    <col min="11526" max="11526" width="15.7109375" style="92" bestFit="1" customWidth="1"/>
    <col min="11527" max="11527" width="13.7109375" style="92" bestFit="1" customWidth="1"/>
    <col min="11528" max="11528" width="13.42578125" style="92" bestFit="1" customWidth="1"/>
    <col min="11529" max="11539" width="10.5703125" style="92" bestFit="1" customWidth="1"/>
    <col min="11540" max="11540" width="13.5703125" style="92" customWidth="1"/>
    <col min="11541" max="11541" width="16.5703125" style="92" customWidth="1"/>
    <col min="11542" max="11542" width="14.42578125" style="92" customWidth="1"/>
    <col min="11543" max="11543" width="13.28515625" style="92" bestFit="1" customWidth="1"/>
    <col min="11544" max="11544" width="13.42578125" style="92" bestFit="1" customWidth="1"/>
    <col min="11545" max="11545" width="13" style="92" customWidth="1"/>
    <col min="11546" max="11546" width="11.5703125" style="92" customWidth="1"/>
    <col min="11547" max="11547" width="13.140625" style="92" customWidth="1"/>
    <col min="11548" max="11549" width="11.5703125" style="92" customWidth="1"/>
    <col min="11550" max="11550" width="12.42578125" style="92" customWidth="1"/>
    <col min="11551" max="11551" width="13.5703125" style="92" customWidth="1"/>
    <col min="11552" max="11552" width="13.140625" style="92" bestFit="1" customWidth="1"/>
    <col min="11553" max="11553" width="18.85546875" style="92" customWidth="1"/>
    <col min="11554" max="11555" width="14.140625" style="92" customWidth="1"/>
    <col min="11556" max="11556" width="13.85546875" style="92" customWidth="1"/>
    <col min="11557" max="11557" width="14.140625" style="92" customWidth="1"/>
    <col min="11558" max="11558" width="13.7109375" style="92" customWidth="1"/>
    <col min="11559" max="11559" width="17.140625" style="92" customWidth="1"/>
    <col min="11560" max="11560" width="15.42578125" style="92" customWidth="1"/>
    <col min="11561" max="11561" width="18" style="92" customWidth="1"/>
    <col min="11562" max="11562" width="13.7109375" style="92" bestFit="1" customWidth="1"/>
    <col min="11563" max="11563" width="14.140625" style="92" bestFit="1" customWidth="1"/>
    <col min="11564" max="11564" width="14" style="92" bestFit="1" customWidth="1"/>
    <col min="11565" max="11565" width="14.85546875" style="92" bestFit="1" customWidth="1"/>
    <col min="11566" max="11566" width="15.7109375" style="92" customWidth="1"/>
    <col min="11567" max="11567" width="5.85546875" style="92" customWidth="1"/>
    <col min="11568" max="11568" width="9.28515625" style="92" customWidth="1"/>
    <col min="11569" max="11569" width="14.85546875" style="92" customWidth="1"/>
    <col min="11570" max="11570" width="12.85546875" style="92" bestFit="1" customWidth="1"/>
    <col min="11571" max="11571" width="12.85546875" style="92" customWidth="1"/>
    <col min="11572" max="11589" width="8.85546875" style="92" customWidth="1"/>
    <col min="11590" max="11590" width="30.28515625" style="92" bestFit="1" customWidth="1"/>
    <col min="11591" max="11591" width="20.7109375" style="92" customWidth="1"/>
    <col min="11592" max="11592" width="13.42578125" style="92" customWidth="1"/>
    <col min="11593" max="11593" width="8.85546875" style="92" customWidth="1"/>
    <col min="11594" max="11594" width="11.7109375" style="92" bestFit="1" customWidth="1"/>
    <col min="11595" max="11762" width="8.85546875" style="92" customWidth="1"/>
    <col min="11763" max="11763" width="29.7109375" style="92" customWidth="1"/>
    <col min="11764" max="11766" width="14.28515625" style="92" customWidth="1"/>
    <col min="11767" max="11767" width="2.7109375" style="92" customWidth="1"/>
    <col min="11768" max="11771" width="14.28515625" style="92"/>
    <col min="11772" max="11772" width="9.28515625" style="92" bestFit="1" customWidth="1"/>
    <col min="11773" max="11773" width="48.140625" style="92" customWidth="1"/>
    <col min="11774" max="11774" width="15.85546875" style="92" bestFit="1" customWidth="1"/>
    <col min="11775" max="11775" width="14.85546875" style="92" bestFit="1" customWidth="1"/>
    <col min="11776" max="11776" width="14.7109375" style="92" bestFit="1" customWidth="1"/>
    <col min="11777" max="11777" width="2.7109375" style="92" customWidth="1"/>
    <col min="11778" max="11778" width="15.85546875" style="92" bestFit="1" customWidth="1"/>
    <col min="11779" max="11780" width="14.5703125" style="92" bestFit="1" customWidth="1"/>
    <col min="11781" max="11781" width="2.7109375" style="92" customWidth="1"/>
    <col min="11782" max="11782" width="15.7109375" style="92" bestFit="1" customWidth="1"/>
    <col min="11783" max="11783" width="13.7109375" style="92" bestFit="1" customWidth="1"/>
    <col min="11784" max="11784" width="13.42578125" style="92" bestFit="1" customWidth="1"/>
    <col min="11785" max="11795" width="10.5703125" style="92" bestFit="1" customWidth="1"/>
    <col min="11796" max="11796" width="13.5703125" style="92" customWidth="1"/>
    <col min="11797" max="11797" width="16.5703125" style="92" customWidth="1"/>
    <col min="11798" max="11798" width="14.42578125" style="92" customWidth="1"/>
    <col min="11799" max="11799" width="13.28515625" style="92" bestFit="1" customWidth="1"/>
    <col min="11800" max="11800" width="13.42578125" style="92" bestFit="1" customWidth="1"/>
    <col min="11801" max="11801" width="13" style="92" customWidth="1"/>
    <col min="11802" max="11802" width="11.5703125" style="92" customWidth="1"/>
    <col min="11803" max="11803" width="13.140625" style="92" customWidth="1"/>
    <col min="11804" max="11805" width="11.5703125" style="92" customWidth="1"/>
    <col min="11806" max="11806" width="12.42578125" style="92" customWidth="1"/>
    <col min="11807" max="11807" width="13.5703125" style="92" customWidth="1"/>
    <col min="11808" max="11808" width="13.140625" style="92" bestFit="1" customWidth="1"/>
    <col min="11809" max="11809" width="18.85546875" style="92" customWidth="1"/>
    <col min="11810" max="11811" width="14.140625" style="92" customWidth="1"/>
    <col min="11812" max="11812" width="13.85546875" style="92" customWidth="1"/>
    <col min="11813" max="11813" width="14.140625" style="92" customWidth="1"/>
    <col min="11814" max="11814" width="13.7109375" style="92" customWidth="1"/>
    <col min="11815" max="11815" width="17.140625" style="92" customWidth="1"/>
    <col min="11816" max="11816" width="15.42578125" style="92" customWidth="1"/>
    <col min="11817" max="11817" width="18" style="92" customWidth="1"/>
    <col min="11818" max="11818" width="13.7109375" style="92" bestFit="1" customWidth="1"/>
    <col min="11819" max="11819" width="14.140625" style="92" bestFit="1" customWidth="1"/>
    <col min="11820" max="11820" width="14" style="92" bestFit="1" customWidth="1"/>
    <col min="11821" max="11821" width="14.85546875" style="92" bestFit="1" customWidth="1"/>
    <col min="11822" max="11822" width="15.7109375" style="92" customWidth="1"/>
    <col min="11823" max="11823" width="5.85546875" style="92" customWidth="1"/>
    <col min="11824" max="11824" width="9.28515625" style="92" customWidth="1"/>
    <col min="11825" max="11825" width="14.85546875" style="92" customWidth="1"/>
    <col min="11826" max="11826" width="12.85546875" style="92" bestFit="1" customWidth="1"/>
    <col min="11827" max="11827" width="12.85546875" style="92" customWidth="1"/>
    <col min="11828" max="11845" width="8.85546875" style="92" customWidth="1"/>
    <col min="11846" max="11846" width="30.28515625" style="92" bestFit="1" customWidth="1"/>
    <col min="11847" max="11847" width="20.7109375" style="92" customWidth="1"/>
    <col min="11848" max="11848" width="13.42578125" style="92" customWidth="1"/>
    <col min="11849" max="11849" width="8.85546875" style="92" customWidth="1"/>
    <col min="11850" max="11850" width="11.7109375" style="92" bestFit="1" customWidth="1"/>
    <col min="11851" max="12018" width="8.85546875" style="92" customWidth="1"/>
    <col min="12019" max="12019" width="29.7109375" style="92" customWidth="1"/>
    <col min="12020" max="12022" width="14.28515625" style="92" customWidth="1"/>
    <col min="12023" max="12023" width="2.7109375" style="92" customWidth="1"/>
    <col min="12024" max="12027" width="14.28515625" style="92"/>
    <col min="12028" max="12028" width="9.28515625" style="92" bestFit="1" customWidth="1"/>
    <col min="12029" max="12029" width="48.140625" style="92" customWidth="1"/>
    <col min="12030" max="12030" width="15.85546875" style="92" bestFit="1" customWidth="1"/>
    <col min="12031" max="12031" width="14.85546875" style="92" bestFit="1" customWidth="1"/>
    <col min="12032" max="12032" width="14.7109375" style="92" bestFit="1" customWidth="1"/>
    <col min="12033" max="12033" width="2.7109375" style="92" customWidth="1"/>
    <col min="12034" max="12034" width="15.85546875" style="92" bestFit="1" customWidth="1"/>
    <col min="12035" max="12036" width="14.5703125" style="92" bestFit="1" customWidth="1"/>
    <col min="12037" max="12037" width="2.7109375" style="92" customWidth="1"/>
    <col min="12038" max="12038" width="15.7109375" style="92" bestFit="1" customWidth="1"/>
    <col min="12039" max="12039" width="13.7109375" style="92" bestFit="1" customWidth="1"/>
    <col min="12040" max="12040" width="13.42578125" style="92" bestFit="1" customWidth="1"/>
    <col min="12041" max="12051" width="10.5703125" style="92" bestFit="1" customWidth="1"/>
    <col min="12052" max="12052" width="13.5703125" style="92" customWidth="1"/>
    <col min="12053" max="12053" width="16.5703125" style="92" customWidth="1"/>
    <col min="12054" max="12054" width="14.42578125" style="92" customWidth="1"/>
    <col min="12055" max="12055" width="13.28515625" style="92" bestFit="1" customWidth="1"/>
    <col min="12056" max="12056" width="13.42578125" style="92" bestFit="1" customWidth="1"/>
    <col min="12057" max="12057" width="13" style="92" customWidth="1"/>
    <col min="12058" max="12058" width="11.5703125" style="92" customWidth="1"/>
    <col min="12059" max="12059" width="13.140625" style="92" customWidth="1"/>
    <col min="12060" max="12061" width="11.5703125" style="92" customWidth="1"/>
    <col min="12062" max="12062" width="12.42578125" style="92" customWidth="1"/>
    <col min="12063" max="12063" width="13.5703125" style="92" customWidth="1"/>
    <col min="12064" max="12064" width="13.140625" style="92" bestFit="1" customWidth="1"/>
    <col min="12065" max="12065" width="18.85546875" style="92" customWidth="1"/>
    <col min="12066" max="12067" width="14.140625" style="92" customWidth="1"/>
    <col min="12068" max="12068" width="13.85546875" style="92" customWidth="1"/>
    <col min="12069" max="12069" width="14.140625" style="92" customWidth="1"/>
    <col min="12070" max="12070" width="13.7109375" style="92" customWidth="1"/>
    <col min="12071" max="12071" width="17.140625" style="92" customWidth="1"/>
    <col min="12072" max="12072" width="15.42578125" style="92" customWidth="1"/>
    <col min="12073" max="12073" width="18" style="92" customWidth="1"/>
    <col min="12074" max="12074" width="13.7109375" style="92" bestFit="1" customWidth="1"/>
    <col min="12075" max="12075" width="14.140625" style="92" bestFit="1" customWidth="1"/>
    <col min="12076" max="12076" width="14" style="92" bestFit="1" customWidth="1"/>
    <col min="12077" max="12077" width="14.85546875" style="92" bestFit="1" customWidth="1"/>
    <col min="12078" max="12078" width="15.7109375" style="92" customWidth="1"/>
    <col min="12079" max="12079" width="5.85546875" style="92" customWidth="1"/>
    <col min="12080" max="12080" width="9.28515625" style="92" customWidth="1"/>
    <col min="12081" max="12081" width="14.85546875" style="92" customWidth="1"/>
    <col min="12082" max="12082" width="12.85546875" style="92" bestFit="1" customWidth="1"/>
    <col min="12083" max="12083" width="12.85546875" style="92" customWidth="1"/>
    <col min="12084" max="12101" width="8.85546875" style="92" customWidth="1"/>
    <col min="12102" max="12102" width="30.28515625" style="92" bestFit="1" customWidth="1"/>
    <col min="12103" max="12103" width="20.7109375" style="92" customWidth="1"/>
    <col min="12104" max="12104" width="13.42578125" style="92" customWidth="1"/>
    <col min="12105" max="12105" width="8.85546875" style="92" customWidth="1"/>
    <col min="12106" max="12106" width="11.7109375" style="92" bestFit="1" customWidth="1"/>
    <col min="12107" max="12274" width="8.85546875" style="92" customWidth="1"/>
    <col min="12275" max="12275" width="29.7109375" style="92" customWidth="1"/>
    <col min="12276" max="12278" width="14.28515625" style="92" customWidth="1"/>
    <col min="12279" max="12279" width="2.7109375" style="92" customWidth="1"/>
    <col min="12280" max="12283" width="14.28515625" style="92"/>
    <col min="12284" max="12284" width="9.28515625" style="92" bestFit="1" customWidth="1"/>
    <col min="12285" max="12285" width="48.140625" style="92" customWidth="1"/>
    <col min="12286" max="12286" width="15.85546875" style="92" bestFit="1" customWidth="1"/>
    <col min="12287" max="12287" width="14.85546875" style="92" bestFit="1" customWidth="1"/>
    <col min="12288" max="12288" width="14.7109375" style="92" bestFit="1" customWidth="1"/>
    <col min="12289" max="12289" width="2.7109375" style="92" customWidth="1"/>
    <col min="12290" max="12290" width="15.85546875" style="92" bestFit="1" customWidth="1"/>
    <col min="12291" max="12292" width="14.5703125" style="92" bestFit="1" customWidth="1"/>
    <col min="12293" max="12293" width="2.7109375" style="92" customWidth="1"/>
    <col min="12294" max="12294" width="15.7109375" style="92" bestFit="1" customWidth="1"/>
    <col min="12295" max="12295" width="13.7109375" style="92" bestFit="1" customWidth="1"/>
    <col min="12296" max="12296" width="13.42578125" style="92" bestFit="1" customWidth="1"/>
    <col min="12297" max="12307" width="10.5703125" style="92" bestFit="1" customWidth="1"/>
    <col min="12308" max="12308" width="13.5703125" style="92" customWidth="1"/>
    <col min="12309" max="12309" width="16.5703125" style="92" customWidth="1"/>
    <col min="12310" max="12310" width="14.42578125" style="92" customWidth="1"/>
    <col min="12311" max="12311" width="13.28515625" style="92" bestFit="1" customWidth="1"/>
    <col min="12312" max="12312" width="13.42578125" style="92" bestFit="1" customWidth="1"/>
    <col min="12313" max="12313" width="13" style="92" customWidth="1"/>
    <col min="12314" max="12314" width="11.5703125" style="92" customWidth="1"/>
    <col min="12315" max="12315" width="13.140625" style="92" customWidth="1"/>
    <col min="12316" max="12317" width="11.5703125" style="92" customWidth="1"/>
    <col min="12318" max="12318" width="12.42578125" style="92" customWidth="1"/>
    <col min="12319" max="12319" width="13.5703125" style="92" customWidth="1"/>
    <col min="12320" max="12320" width="13.140625" style="92" bestFit="1" customWidth="1"/>
    <col min="12321" max="12321" width="18.85546875" style="92" customWidth="1"/>
    <col min="12322" max="12323" width="14.140625" style="92" customWidth="1"/>
    <col min="12324" max="12324" width="13.85546875" style="92" customWidth="1"/>
    <col min="12325" max="12325" width="14.140625" style="92" customWidth="1"/>
    <col min="12326" max="12326" width="13.7109375" style="92" customWidth="1"/>
    <col min="12327" max="12327" width="17.140625" style="92" customWidth="1"/>
    <col min="12328" max="12328" width="15.42578125" style="92" customWidth="1"/>
    <col min="12329" max="12329" width="18" style="92" customWidth="1"/>
    <col min="12330" max="12330" width="13.7109375" style="92" bestFit="1" customWidth="1"/>
    <col min="12331" max="12331" width="14.140625" style="92" bestFit="1" customWidth="1"/>
    <col min="12332" max="12332" width="14" style="92" bestFit="1" customWidth="1"/>
    <col min="12333" max="12333" width="14.85546875" style="92" bestFit="1" customWidth="1"/>
    <col min="12334" max="12334" width="15.7109375" style="92" customWidth="1"/>
    <col min="12335" max="12335" width="5.85546875" style="92" customWidth="1"/>
    <col min="12336" max="12336" width="9.28515625" style="92" customWidth="1"/>
    <col min="12337" max="12337" width="14.85546875" style="92" customWidth="1"/>
    <col min="12338" max="12338" width="12.85546875" style="92" bestFit="1" customWidth="1"/>
    <col min="12339" max="12339" width="12.85546875" style="92" customWidth="1"/>
    <col min="12340" max="12357" width="8.85546875" style="92" customWidth="1"/>
    <col min="12358" max="12358" width="30.28515625" style="92" bestFit="1" customWidth="1"/>
    <col min="12359" max="12359" width="20.7109375" style="92" customWidth="1"/>
    <col min="12360" max="12360" width="13.42578125" style="92" customWidth="1"/>
    <col min="12361" max="12361" width="8.85546875" style="92" customWidth="1"/>
    <col min="12362" max="12362" width="11.7109375" style="92" bestFit="1" customWidth="1"/>
    <col min="12363" max="12530" width="8.85546875" style="92" customWidth="1"/>
    <col min="12531" max="12531" width="29.7109375" style="92" customWidth="1"/>
    <col min="12532" max="12534" width="14.28515625" style="92" customWidth="1"/>
    <col min="12535" max="12535" width="2.7109375" style="92" customWidth="1"/>
    <col min="12536" max="12539" width="14.28515625" style="92"/>
    <col min="12540" max="12540" width="9.28515625" style="92" bestFit="1" customWidth="1"/>
    <col min="12541" max="12541" width="48.140625" style="92" customWidth="1"/>
    <col min="12542" max="12542" width="15.85546875" style="92" bestFit="1" customWidth="1"/>
    <col min="12543" max="12543" width="14.85546875" style="92" bestFit="1" customWidth="1"/>
    <col min="12544" max="12544" width="14.7109375" style="92" bestFit="1" customWidth="1"/>
    <col min="12545" max="12545" width="2.7109375" style="92" customWidth="1"/>
    <col min="12546" max="12546" width="15.85546875" style="92" bestFit="1" customWidth="1"/>
    <col min="12547" max="12548" width="14.5703125" style="92" bestFit="1" customWidth="1"/>
    <col min="12549" max="12549" width="2.7109375" style="92" customWidth="1"/>
    <col min="12550" max="12550" width="15.7109375" style="92" bestFit="1" customWidth="1"/>
    <col min="12551" max="12551" width="13.7109375" style="92" bestFit="1" customWidth="1"/>
    <col min="12552" max="12552" width="13.42578125" style="92" bestFit="1" customWidth="1"/>
    <col min="12553" max="12563" width="10.5703125" style="92" bestFit="1" customWidth="1"/>
    <col min="12564" max="12564" width="13.5703125" style="92" customWidth="1"/>
    <col min="12565" max="12565" width="16.5703125" style="92" customWidth="1"/>
    <col min="12566" max="12566" width="14.42578125" style="92" customWidth="1"/>
    <col min="12567" max="12567" width="13.28515625" style="92" bestFit="1" customWidth="1"/>
    <col min="12568" max="12568" width="13.42578125" style="92" bestFit="1" customWidth="1"/>
    <col min="12569" max="12569" width="13" style="92" customWidth="1"/>
    <col min="12570" max="12570" width="11.5703125" style="92" customWidth="1"/>
    <col min="12571" max="12571" width="13.140625" style="92" customWidth="1"/>
    <col min="12572" max="12573" width="11.5703125" style="92" customWidth="1"/>
    <col min="12574" max="12574" width="12.42578125" style="92" customWidth="1"/>
    <col min="12575" max="12575" width="13.5703125" style="92" customWidth="1"/>
    <col min="12576" max="12576" width="13.140625" style="92" bestFit="1" customWidth="1"/>
    <col min="12577" max="12577" width="18.85546875" style="92" customWidth="1"/>
    <col min="12578" max="12579" width="14.140625" style="92" customWidth="1"/>
    <col min="12580" max="12580" width="13.85546875" style="92" customWidth="1"/>
    <col min="12581" max="12581" width="14.140625" style="92" customWidth="1"/>
    <col min="12582" max="12582" width="13.7109375" style="92" customWidth="1"/>
    <col min="12583" max="12583" width="17.140625" style="92" customWidth="1"/>
    <col min="12584" max="12584" width="15.42578125" style="92" customWidth="1"/>
    <col min="12585" max="12585" width="18" style="92" customWidth="1"/>
    <col min="12586" max="12586" width="13.7109375" style="92" bestFit="1" customWidth="1"/>
    <col min="12587" max="12587" width="14.140625" style="92" bestFit="1" customWidth="1"/>
    <col min="12588" max="12588" width="14" style="92" bestFit="1" customWidth="1"/>
    <col min="12589" max="12589" width="14.85546875" style="92" bestFit="1" customWidth="1"/>
    <col min="12590" max="12590" width="15.7109375" style="92" customWidth="1"/>
    <col min="12591" max="12591" width="5.85546875" style="92" customWidth="1"/>
    <col min="12592" max="12592" width="9.28515625" style="92" customWidth="1"/>
    <col min="12593" max="12593" width="14.85546875" style="92" customWidth="1"/>
    <col min="12594" max="12594" width="12.85546875" style="92" bestFit="1" customWidth="1"/>
    <col min="12595" max="12595" width="12.85546875" style="92" customWidth="1"/>
    <col min="12596" max="12613" width="8.85546875" style="92" customWidth="1"/>
    <col min="12614" max="12614" width="30.28515625" style="92" bestFit="1" customWidth="1"/>
    <col min="12615" max="12615" width="20.7109375" style="92" customWidth="1"/>
    <col min="12616" max="12616" width="13.42578125" style="92" customWidth="1"/>
    <col min="12617" max="12617" width="8.85546875" style="92" customWidth="1"/>
    <col min="12618" max="12618" width="11.7109375" style="92" bestFit="1" customWidth="1"/>
    <col min="12619" max="12786" width="8.85546875" style="92" customWidth="1"/>
    <col min="12787" max="12787" width="29.7109375" style="92" customWidth="1"/>
    <col min="12788" max="12790" width="14.28515625" style="92" customWidth="1"/>
    <col min="12791" max="12791" width="2.7109375" style="92" customWidth="1"/>
    <col min="12792" max="12795" width="14.28515625" style="92"/>
    <col min="12796" max="12796" width="9.28515625" style="92" bestFit="1" customWidth="1"/>
    <col min="12797" max="12797" width="48.140625" style="92" customWidth="1"/>
    <col min="12798" max="12798" width="15.85546875" style="92" bestFit="1" customWidth="1"/>
    <col min="12799" max="12799" width="14.85546875" style="92" bestFit="1" customWidth="1"/>
    <col min="12800" max="12800" width="14.7109375" style="92" bestFit="1" customWidth="1"/>
    <col min="12801" max="12801" width="2.7109375" style="92" customWidth="1"/>
    <col min="12802" max="12802" width="15.85546875" style="92" bestFit="1" customWidth="1"/>
    <col min="12803" max="12804" width="14.5703125" style="92" bestFit="1" customWidth="1"/>
    <col min="12805" max="12805" width="2.7109375" style="92" customWidth="1"/>
    <col min="12806" max="12806" width="15.7109375" style="92" bestFit="1" customWidth="1"/>
    <col min="12807" max="12807" width="13.7109375" style="92" bestFit="1" customWidth="1"/>
    <col min="12808" max="12808" width="13.42578125" style="92" bestFit="1" customWidth="1"/>
    <col min="12809" max="12819" width="10.5703125" style="92" bestFit="1" customWidth="1"/>
    <col min="12820" max="12820" width="13.5703125" style="92" customWidth="1"/>
    <col min="12821" max="12821" width="16.5703125" style="92" customWidth="1"/>
    <col min="12822" max="12822" width="14.42578125" style="92" customWidth="1"/>
    <col min="12823" max="12823" width="13.28515625" style="92" bestFit="1" customWidth="1"/>
    <col min="12824" max="12824" width="13.42578125" style="92" bestFit="1" customWidth="1"/>
    <col min="12825" max="12825" width="13" style="92" customWidth="1"/>
    <col min="12826" max="12826" width="11.5703125" style="92" customWidth="1"/>
    <col min="12827" max="12827" width="13.140625" style="92" customWidth="1"/>
    <col min="12828" max="12829" width="11.5703125" style="92" customWidth="1"/>
    <col min="12830" max="12830" width="12.42578125" style="92" customWidth="1"/>
    <col min="12831" max="12831" width="13.5703125" style="92" customWidth="1"/>
    <col min="12832" max="12832" width="13.140625" style="92" bestFit="1" customWidth="1"/>
    <col min="12833" max="12833" width="18.85546875" style="92" customWidth="1"/>
    <col min="12834" max="12835" width="14.140625" style="92" customWidth="1"/>
    <col min="12836" max="12836" width="13.85546875" style="92" customWidth="1"/>
    <col min="12837" max="12837" width="14.140625" style="92" customWidth="1"/>
    <col min="12838" max="12838" width="13.7109375" style="92" customWidth="1"/>
    <col min="12839" max="12839" width="17.140625" style="92" customWidth="1"/>
    <col min="12840" max="12840" width="15.42578125" style="92" customWidth="1"/>
    <col min="12841" max="12841" width="18" style="92" customWidth="1"/>
    <col min="12842" max="12842" width="13.7109375" style="92" bestFit="1" customWidth="1"/>
    <col min="12843" max="12843" width="14.140625" style="92" bestFit="1" customWidth="1"/>
    <col min="12844" max="12844" width="14" style="92" bestFit="1" customWidth="1"/>
    <col min="12845" max="12845" width="14.85546875" style="92" bestFit="1" customWidth="1"/>
    <col min="12846" max="12846" width="15.7109375" style="92" customWidth="1"/>
    <col min="12847" max="12847" width="5.85546875" style="92" customWidth="1"/>
    <col min="12848" max="12848" width="9.28515625" style="92" customWidth="1"/>
    <col min="12849" max="12849" width="14.85546875" style="92" customWidth="1"/>
    <col min="12850" max="12850" width="12.85546875" style="92" bestFit="1" customWidth="1"/>
    <col min="12851" max="12851" width="12.85546875" style="92" customWidth="1"/>
    <col min="12852" max="12869" width="8.85546875" style="92" customWidth="1"/>
    <col min="12870" max="12870" width="30.28515625" style="92" bestFit="1" customWidth="1"/>
    <col min="12871" max="12871" width="20.7109375" style="92" customWidth="1"/>
    <col min="12872" max="12872" width="13.42578125" style="92" customWidth="1"/>
    <col min="12873" max="12873" width="8.85546875" style="92" customWidth="1"/>
    <col min="12874" max="12874" width="11.7109375" style="92" bestFit="1" customWidth="1"/>
    <col min="12875" max="13042" width="8.85546875" style="92" customWidth="1"/>
    <col min="13043" max="13043" width="29.7109375" style="92" customWidth="1"/>
    <col min="13044" max="13046" width="14.28515625" style="92" customWidth="1"/>
    <col min="13047" max="13047" width="2.7109375" style="92" customWidth="1"/>
    <col min="13048" max="13051" width="14.28515625" style="92"/>
    <col min="13052" max="13052" width="9.28515625" style="92" bestFit="1" customWidth="1"/>
    <col min="13053" max="13053" width="48.140625" style="92" customWidth="1"/>
    <col min="13054" max="13054" width="15.85546875" style="92" bestFit="1" customWidth="1"/>
    <col min="13055" max="13055" width="14.85546875" style="92" bestFit="1" customWidth="1"/>
    <col min="13056" max="13056" width="14.7109375" style="92" bestFit="1" customWidth="1"/>
    <col min="13057" max="13057" width="2.7109375" style="92" customWidth="1"/>
    <col min="13058" max="13058" width="15.85546875" style="92" bestFit="1" customWidth="1"/>
    <col min="13059" max="13060" width="14.5703125" style="92" bestFit="1" customWidth="1"/>
    <col min="13061" max="13061" width="2.7109375" style="92" customWidth="1"/>
    <col min="13062" max="13062" width="15.7109375" style="92" bestFit="1" customWidth="1"/>
    <col min="13063" max="13063" width="13.7109375" style="92" bestFit="1" customWidth="1"/>
    <col min="13064" max="13064" width="13.42578125" style="92" bestFit="1" customWidth="1"/>
    <col min="13065" max="13075" width="10.5703125" style="92" bestFit="1" customWidth="1"/>
    <col min="13076" max="13076" width="13.5703125" style="92" customWidth="1"/>
    <col min="13077" max="13077" width="16.5703125" style="92" customWidth="1"/>
    <col min="13078" max="13078" width="14.42578125" style="92" customWidth="1"/>
    <col min="13079" max="13079" width="13.28515625" style="92" bestFit="1" customWidth="1"/>
    <col min="13080" max="13080" width="13.42578125" style="92" bestFit="1" customWidth="1"/>
    <col min="13081" max="13081" width="13" style="92" customWidth="1"/>
    <col min="13082" max="13082" width="11.5703125" style="92" customWidth="1"/>
    <col min="13083" max="13083" width="13.140625" style="92" customWidth="1"/>
    <col min="13084" max="13085" width="11.5703125" style="92" customWidth="1"/>
    <col min="13086" max="13086" width="12.42578125" style="92" customWidth="1"/>
    <col min="13087" max="13087" width="13.5703125" style="92" customWidth="1"/>
    <col min="13088" max="13088" width="13.140625" style="92" bestFit="1" customWidth="1"/>
    <col min="13089" max="13089" width="18.85546875" style="92" customWidth="1"/>
    <col min="13090" max="13091" width="14.140625" style="92" customWidth="1"/>
    <col min="13092" max="13092" width="13.85546875" style="92" customWidth="1"/>
    <col min="13093" max="13093" width="14.140625" style="92" customWidth="1"/>
    <col min="13094" max="13094" width="13.7109375" style="92" customWidth="1"/>
    <col min="13095" max="13095" width="17.140625" style="92" customWidth="1"/>
    <col min="13096" max="13096" width="15.42578125" style="92" customWidth="1"/>
    <col min="13097" max="13097" width="18" style="92" customWidth="1"/>
    <col min="13098" max="13098" width="13.7109375" style="92" bestFit="1" customWidth="1"/>
    <col min="13099" max="13099" width="14.140625" style="92" bestFit="1" customWidth="1"/>
    <col min="13100" max="13100" width="14" style="92" bestFit="1" customWidth="1"/>
    <col min="13101" max="13101" width="14.85546875" style="92" bestFit="1" customWidth="1"/>
    <col min="13102" max="13102" width="15.7109375" style="92" customWidth="1"/>
    <col min="13103" max="13103" width="5.85546875" style="92" customWidth="1"/>
    <col min="13104" max="13104" width="9.28515625" style="92" customWidth="1"/>
    <col min="13105" max="13105" width="14.85546875" style="92" customWidth="1"/>
    <col min="13106" max="13106" width="12.85546875" style="92" bestFit="1" customWidth="1"/>
    <col min="13107" max="13107" width="12.85546875" style="92" customWidth="1"/>
    <col min="13108" max="13125" width="8.85546875" style="92" customWidth="1"/>
    <col min="13126" max="13126" width="30.28515625" style="92" bestFit="1" customWidth="1"/>
    <col min="13127" max="13127" width="20.7109375" style="92" customWidth="1"/>
    <col min="13128" max="13128" width="13.42578125" style="92" customWidth="1"/>
    <col min="13129" max="13129" width="8.85546875" style="92" customWidth="1"/>
    <col min="13130" max="13130" width="11.7109375" style="92" bestFit="1" customWidth="1"/>
    <col min="13131" max="13298" width="8.85546875" style="92" customWidth="1"/>
    <col min="13299" max="13299" width="29.7109375" style="92" customWidth="1"/>
    <col min="13300" max="13302" width="14.28515625" style="92" customWidth="1"/>
    <col min="13303" max="13303" width="2.7109375" style="92" customWidth="1"/>
    <col min="13304" max="13307" width="14.28515625" style="92"/>
    <col min="13308" max="13308" width="9.28515625" style="92" bestFit="1" customWidth="1"/>
    <col min="13309" max="13309" width="48.140625" style="92" customWidth="1"/>
    <col min="13310" max="13310" width="15.85546875" style="92" bestFit="1" customWidth="1"/>
    <col min="13311" max="13311" width="14.85546875" style="92" bestFit="1" customWidth="1"/>
    <col min="13312" max="13312" width="14.7109375" style="92" bestFit="1" customWidth="1"/>
    <col min="13313" max="13313" width="2.7109375" style="92" customWidth="1"/>
    <col min="13314" max="13314" width="15.85546875" style="92" bestFit="1" customWidth="1"/>
    <col min="13315" max="13316" width="14.5703125" style="92" bestFit="1" customWidth="1"/>
    <col min="13317" max="13317" width="2.7109375" style="92" customWidth="1"/>
    <col min="13318" max="13318" width="15.7109375" style="92" bestFit="1" customWidth="1"/>
    <col min="13319" max="13319" width="13.7109375" style="92" bestFit="1" customWidth="1"/>
    <col min="13320" max="13320" width="13.42578125" style="92" bestFit="1" customWidth="1"/>
    <col min="13321" max="13331" width="10.5703125" style="92" bestFit="1" customWidth="1"/>
    <col min="13332" max="13332" width="13.5703125" style="92" customWidth="1"/>
    <col min="13333" max="13333" width="16.5703125" style="92" customWidth="1"/>
    <col min="13334" max="13334" width="14.42578125" style="92" customWidth="1"/>
    <col min="13335" max="13335" width="13.28515625" style="92" bestFit="1" customWidth="1"/>
    <col min="13336" max="13336" width="13.42578125" style="92" bestFit="1" customWidth="1"/>
    <col min="13337" max="13337" width="13" style="92" customWidth="1"/>
    <col min="13338" max="13338" width="11.5703125" style="92" customWidth="1"/>
    <col min="13339" max="13339" width="13.140625" style="92" customWidth="1"/>
    <col min="13340" max="13341" width="11.5703125" style="92" customWidth="1"/>
    <col min="13342" max="13342" width="12.42578125" style="92" customWidth="1"/>
    <col min="13343" max="13343" width="13.5703125" style="92" customWidth="1"/>
    <col min="13344" max="13344" width="13.140625" style="92" bestFit="1" customWidth="1"/>
    <col min="13345" max="13345" width="18.85546875" style="92" customWidth="1"/>
    <col min="13346" max="13347" width="14.140625" style="92" customWidth="1"/>
    <col min="13348" max="13348" width="13.85546875" style="92" customWidth="1"/>
    <col min="13349" max="13349" width="14.140625" style="92" customWidth="1"/>
    <col min="13350" max="13350" width="13.7109375" style="92" customWidth="1"/>
    <col min="13351" max="13351" width="17.140625" style="92" customWidth="1"/>
    <col min="13352" max="13352" width="15.42578125" style="92" customWidth="1"/>
    <col min="13353" max="13353" width="18" style="92" customWidth="1"/>
    <col min="13354" max="13354" width="13.7109375" style="92" bestFit="1" customWidth="1"/>
    <col min="13355" max="13355" width="14.140625" style="92" bestFit="1" customWidth="1"/>
    <col min="13356" max="13356" width="14" style="92" bestFit="1" customWidth="1"/>
    <col min="13357" max="13357" width="14.85546875" style="92" bestFit="1" customWidth="1"/>
    <col min="13358" max="13358" width="15.7109375" style="92" customWidth="1"/>
    <col min="13359" max="13359" width="5.85546875" style="92" customWidth="1"/>
    <col min="13360" max="13360" width="9.28515625" style="92" customWidth="1"/>
    <col min="13361" max="13361" width="14.85546875" style="92" customWidth="1"/>
    <col min="13362" max="13362" width="12.85546875" style="92" bestFit="1" customWidth="1"/>
    <col min="13363" max="13363" width="12.85546875" style="92" customWidth="1"/>
    <col min="13364" max="13381" width="8.85546875" style="92" customWidth="1"/>
    <col min="13382" max="13382" width="30.28515625" style="92" bestFit="1" customWidth="1"/>
    <col min="13383" max="13383" width="20.7109375" style="92" customWidth="1"/>
    <col min="13384" max="13384" width="13.42578125" style="92" customWidth="1"/>
    <col min="13385" max="13385" width="8.85546875" style="92" customWidth="1"/>
    <col min="13386" max="13386" width="11.7109375" style="92" bestFit="1" customWidth="1"/>
    <col min="13387" max="13554" width="8.85546875" style="92" customWidth="1"/>
    <col min="13555" max="13555" width="29.7109375" style="92" customWidth="1"/>
    <col min="13556" max="13558" width="14.28515625" style="92" customWidth="1"/>
    <col min="13559" max="13559" width="2.7109375" style="92" customWidth="1"/>
    <col min="13560" max="13563" width="14.28515625" style="92"/>
    <col min="13564" max="13564" width="9.28515625" style="92" bestFit="1" customWidth="1"/>
    <col min="13565" max="13565" width="48.140625" style="92" customWidth="1"/>
    <col min="13566" max="13566" width="15.85546875" style="92" bestFit="1" customWidth="1"/>
    <col min="13567" max="13567" width="14.85546875" style="92" bestFit="1" customWidth="1"/>
    <col min="13568" max="13568" width="14.7109375" style="92" bestFit="1" customWidth="1"/>
    <col min="13569" max="13569" width="2.7109375" style="92" customWidth="1"/>
    <col min="13570" max="13570" width="15.85546875" style="92" bestFit="1" customWidth="1"/>
    <col min="13571" max="13572" width="14.5703125" style="92" bestFit="1" customWidth="1"/>
    <col min="13573" max="13573" width="2.7109375" style="92" customWidth="1"/>
    <col min="13574" max="13574" width="15.7109375" style="92" bestFit="1" customWidth="1"/>
    <col min="13575" max="13575" width="13.7109375" style="92" bestFit="1" customWidth="1"/>
    <col min="13576" max="13576" width="13.42578125" style="92" bestFit="1" customWidth="1"/>
    <col min="13577" max="13587" width="10.5703125" style="92" bestFit="1" customWidth="1"/>
    <col min="13588" max="13588" width="13.5703125" style="92" customWidth="1"/>
    <col min="13589" max="13589" width="16.5703125" style="92" customWidth="1"/>
    <col min="13590" max="13590" width="14.42578125" style="92" customWidth="1"/>
    <col min="13591" max="13591" width="13.28515625" style="92" bestFit="1" customWidth="1"/>
    <col min="13592" max="13592" width="13.42578125" style="92" bestFit="1" customWidth="1"/>
    <col min="13593" max="13593" width="13" style="92" customWidth="1"/>
    <col min="13594" max="13594" width="11.5703125" style="92" customWidth="1"/>
    <col min="13595" max="13595" width="13.140625" style="92" customWidth="1"/>
    <col min="13596" max="13597" width="11.5703125" style="92" customWidth="1"/>
    <col min="13598" max="13598" width="12.42578125" style="92" customWidth="1"/>
    <col min="13599" max="13599" width="13.5703125" style="92" customWidth="1"/>
    <col min="13600" max="13600" width="13.140625" style="92" bestFit="1" customWidth="1"/>
    <col min="13601" max="13601" width="18.85546875" style="92" customWidth="1"/>
    <col min="13602" max="13603" width="14.140625" style="92" customWidth="1"/>
    <col min="13604" max="13604" width="13.85546875" style="92" customWidth="1"/>
    <col min="13605" max="13605" width="14.140625" style="92" customWidth="1"/>
    <col min="13606" max="13606" width="13.7109375" style="92" customWidth="1"/>
    <col min="13607" max="13607" width="17.140625" style="92" customWidth="1"/>
    <col min="13608" max="13608" width="15.42578125" style="92" customWidth="1"/>
    <col min="13609" max="13609" width="18" style="92" customWidth="1"/>
    <col min="13610" max="13610" width="13.7109375" style="92" bestFit="1" customWidth="1"/>
    <col min="13611" max="13611" width="14.140625" style="92" bestFit="1" customWidth="1"/>
    <col min="13612" max="13612" width="14" style="92" bestFit="1" customWidth="1"/>
    <col min="13613" max="13613" width="14.85546875" style="92" bestFit="1" customWidth="1"/>
    <col min="13614" max="13614" width="15.7109375" style="92" customWidth="1"/>
    <col min="13615" max="13615" width="5.85546875" style="92" customWidth="1"/>
    <col min="13616" max="13616" width="9.28515625" style="92" customWidth="1"/>
    <col min="13617" max="13617" width="14.85546875" style="92" customWidth="1"/>
    <col min="13618" max="13618" width="12.85546875" style="92" bestFit="1" customWidth="1"/>
    <col min="13619" max="13619" width="12.85546875" style="92" customWidth="1"/>
    <col min="13620" max="13637" width="8.85546875" style="92" customWidth="1"/>
    <col min="13638" max="13638" width="30.28515625" style="92" bestFit="1" customWidth="1"/>
    <col min="13639" max="13639" width="20.7109375" style="92" customWidth="1"/>
    <col min="13640" max="13640" width="13.42578125" style="92" customWidth="1"/>
    <col min="13641" max="13641" width="8.85546875" style="92" customWidth="1"/>
    <col min="13642" max="13642" width="11.7109375" style="92" bestFit="1" customWidth="1"/>
    <col min="13643" max="13810" width="8.85546875" style="92" customWidth="1"/>
    <col min="13811" max="13811" width="29.7109375" style="92" customWidth="1"/>
    <col min="13812" max="13814" width="14.28515625" style="92" customWidth="1"/>
    <col min="13815" max="13815" width="2.7109375" style="92" customWidth="1"/>
    <col min="13816" max="13819" width="14.28515625" style="92"/>
    <col min="13820" max="13820" width="9.28515625" style="92" bestFit="1" customWidth="1"/>
    <col min="13821" max="13821" width="48.140625" style="92" customWidth="1"/>
    <col min="13822" max="13822" width="15.85546875" style="92" bestFit="1" customWidth="1"/>
    <col min="13823" max="13823" width="14.85546875" style="92" bestFit="1" customWidth="1"/>
    <col min="13824" max="13824" width="14.7109375" style="92" bestFit="1" customWidth="1"/>
    <col min="13825" max="13825" width="2.7109375" style="92" customWidth="1"/>
    <col min="13826" max="13826" width="15.85546875" style="92" bestFit="1" customWidth="1"/>
    <col min="13827" max="13828" width="14.5703125" style="92" bestFit="1" customWidth="1"/>
    <col min="13829" max="13829" width="2.7109375" style="92" customWidth="1"/>
    <col min="13830" max="13830" width="15.7109375" style="92" bestFit="1" customWidth="1"/>
    <col min="13831" max="13831" width="13.7109375" style="92" bestFit="1" customWidth="1"/>
    <col min="13832" max="13832" width="13.42578125" style="92" bestFit="1" customWidth="1"/>
    <col min="13833" max="13843" width="10.5703125" style="92" bestFit="1" customWidth="1"/>
    <col min="13844" max="13844" width="13.5703125" style="92" customWidth="1"/>
    <col min="13845" max="13845" width="16.5703125" style="92" customWidth="1"/>
    <col min="13846" max="13846" width="14.42578125" style="92" customWidth="1"/>
    <col min="13847" max="13847" width="13.28515625" style="92" bestFit="1" customWidth="1"/>
    <col min="13848" max="13848" width="13.42578125" style="92" bestFit="1" customWidth="1"/>
    <col min="13849" max="13849" width="13" style="92" customWidth="1"/>
    <col min="13850" max="13850" width="11.5703125" style="92" customWidth="1"/>
    <col min="13851" max="13851" width="13.140625" style="92" customWidth="1"/>
    <col min="13852" max="13853" width="11.5703125" style="92" customWidth="1"/>
    <col min="13854" max="13854" width="12.42578125" style="92" customWidth="1"/>
    <col min="13855" max="13855" width="13.5703125" style="92" customWidth="1"/>
    <col min="13856" max="13856" width="13.140625" style="92" bestFit="1" customWidth="1"/>
    <col min="13857" max="13857" width="18.85546875" style="92" customWidth="1"/>
    <col min="13858" max="13859" width="14.140625" style="92" customWidth="1"/>
    <col min="13860" max="13860" width="13.85546875" style="92" customWidth="1"/>
    <col min="13861" max="13861" width="14.140625" style="92" customWidth="1"/>
    <col min="13862" max="13862" width="13.7109375" style="92" customWidth="1"/>
    <col min="13863" max="13863" width="17.140625" style="92" customWidth="1"/>
    <col min="13864" max="13864" width="15.42578125" style="92" customWidth="1"/>
    <col min="13865" max="13865" width="18" style="92" customWidth="1"/>
    <col min="13866" max="13866" width="13.7109375" style="92" bestFit="1" customWidth="1"/>
    <col min="13867" max="13867" width="14.140625" style="92" bestFit="1" customWidth="1"/>
    <col min="13868" max="13868" width="14" style="92" bestFit="1" customWidth="1"/>
    <col min="13869" max="13869" width="14.85546875" style="92" bestFit="1" customWidth="1"/>
    <col min="13870" max="13870" width="15.7109375" style="92" customWidth="1"/>
    <col min="13871" max="13871" width="5.85546875" style="92" customWidth="1"/>
    <col min="13872" max="13872" width="9.28515625" style="92" customWidth="1"/>
    <col min="13873" max="13873" width="14.85546875" style="92" customWidth="1"/>
    <col min="13874" max="13874" width="12.85546875" style="92" bestFit="1" customWidth="1"/>
    <col min="13875" max="13875" width="12.85546875" style="92" customWidth="1"/>
    <col min="13876" max="13893" width="8.85546875" style="92" customWidth="1"/>
    <col min="13894" max="13894" width="30.28515625" style="92" bestFit="1" customWidth="1"/>
    <col min="13895" max="13895" width="20.7109375" style="92" customWidth="1"/>
    <col min="13896" max="13896" width="13.42578125" style="92" customWidth="1"/>
    <col min="13897" max="13897" width="8.85546875" style="92" customWidth="1"/>
    <col min="13898" max="13898" width="11.7109375" style="92" bestFit="1" customWidth="1"/>
    <col min="13899" max="14066" width="8.85546875" style="92" customWidth="1"/>
    <col min="14067" max="14067" width="29.7109375" style="92" customWidth="1"/>
    <col min="14068" max="14070" width="14.28515625" style="92" customWidth="1"/>
    <col min="14071" max="14071" width="2.7109375" style="92" customWidth="1"/>
    <col min="14072" max="14075" width="14.28515625" style="92"/>
    <col min="14076" max="14076" width="9.28515625" style="92" bestFit="1" customWidth="1"/>
    <col min="14077" max="14077" width="48.140625" style="92" customWidth="1"/>
    <col min="14078" max="14078" width="15.85546875" style="92" bestFit="1" customWidth="1"/>
    <col min="14079" max="14079" width="14.85546875" style="92" bestFit="1" customWidth="1"/>
    <col min="14080" max="14080" width="14.7109375" style="92" bestFit="1" customWidth="1"/>
    <col min="14081" max="14081" width="2.7109375" style="92" customWidth="1"/>
    <col min="14082" max="14082" width="15.85546875" style="92" bestFit="1" customWidth="1"/>
    <col min="14083" max="14084" width="14.5703125" style="92" bestFit="1" customWidth="1"/>
    <col min="14085" max="14085" width="2.7109375" style="92" customWidth="1"/>
    <col min="14086" max="14086" width="15.7109375" style="92" bestFit="1" customWidth="1"/>
    <col min="14087" max="14087" width="13.7109375" style="92" bestFit="1" customWidth="1"/>
    <col min="14088" max="14088" width="13.42578125" style="92" bestFit="1" customWidth="1"/>
    <col min="14089" max="14099" width="10.5703125" style="92" bestFit="1" customWidth="1"/>
    <col min="14100" max="14100" width="13.5703125" style="92" customWidth="1"/>
    <col min="14101" max="14101" width="16.5703125" style="92" customWidth="1"/>
    <col min="14102" max="14102" width="14.42578125" style="92" customWidth="1"/>
    <col min="14103" max="14103" width="13.28515625" style="92" bestFit="1" customWidth="1"/>
    <col min="14104" max="14104" width="13.42578125" style="92" bestFit="1" customWidth="1"/>
    <col min="14105" max="14105" width="13" style="92" customWidth="1"/>
    <col min="14106" max="14106" width="11.5703125" style="92" customWidth="1"/>
    <col min="14107" max="14107" width="13.140625" style="92" customWidth="1"/>
    <col min="14108" max="14109" width="11.5703125" style="92" customWidth="1"/>
    <col min="14110" max="14110" width="12.42578125" style="92" customWidth="1"/>
    <col min="14111" max="14111" width="13.5703125" style="92" customWidth="1"/>
    <col min="14112" max="14112" width="13.140625" style="92" bestFit="1" customWidth="1"/>
    <col min="14113" max="14113" width="18.85546875" style="92" customWidth="1"/>
    <col min="14114" max="14115" width="14.140625" style="92" customWidth="1"/>
    <col min="14116" max="14116" width="13.85546875" style="92" customWidth="1"/>
    <col min="14117" max="14117" width="14.140625" style="92" customWidth="1"/>
    <col min="14118" max="14118" width="13.7109375" style="92" customWidth="1"/>
    <col min="14119" max="14119" width="17.140625" style="92" customWidth="1"/>
    <col min="14120" max="14120" width="15.42578125" style="92" customWidth="1"/>
    <col min="14121" max="14121" width="18" style="92" customWidth="1"/>
    <col min="14122" max="14122" width="13.7109375" style="92" bestFit="1" customWidth="1"/>
    <col min="14123" max="14123" width="14.140625" style="92" bestFit="1" customWidth="1"/>
    <col min="14124" max="14124" width="14" style="92" bestFit="1" customWidth="1"/>
    <col min="14125" max="14125" width="14.85546875" style="92" bestFit="1" customWidth="1"/>
    <col min="14126" max="14126" width="15.7109375" style="92" customWidth="1"/>
    <col min="14127" max="14127" width="5.85546875" style="92" customWidth="1"/>
    <col min="14128" max="14128" width="9.28515625" style="92" customWidth="1"/>
    <col min="14129" max="14129" width="14.85546875" style="92" customWidth="1"/>
    <col min="14130" max="14130" width="12.85546875" style="92" bestFit="1" customWidth="1"/>
    <col min="14131" max="14131" width="12.85546875" style="92" customWidth="1"/>
    <col min="14132" max="14149" width="8.85546875" style="92" customWidth="1"/>
    <col min="14150" max="14150" width="30.28515625" style="92" bestFit="1" customWidth="1"/>
    <col min="14151" max="14151" width="20.7109375" style="92" customWidth="1"/>
    <col min="14152" max="14152" width="13.42578125" style="92" customWidth="1"/>
    <col min="14153" max="14153" width="8.85546875" style="92" customWidth="1"/>
    <col min="14154" max="14154" width="11.7109375" style="92" bestFit="1" customWidth="1"/>
    <col min="14155" max="14322" width="8.85546875" style="92" customWidth="1"/>
    <col min="14323" max="14323" width="29.7109375" style="92" customWidth="1"/>
    <col min="14324" max="14326" width="14.28515625" style="92" customWidth="1"/>
    <col min="14327" max="14327" width="2.7109375" style="92" customWidth="1"/>
    <col min="14328" max="14331" width="14.28515625" style="92"/>
    <col min="14332" max="14332" width="9.28515625" style="92" bestFit="1" customWidth="1"/>
    <col min="14333" max="14333" width="48.140625" style="92" customWidth="1"/>
    <col min="14334" max="14334" width="15.85546875" style="92" bestFit="1" customWidth="1"/>
    <col min="14335" max="14335" width="14.85546875" style="92" bestFit="1" customWidth="1"/>
    <col min="14336" max="14336" width="14.7109375" style="92" bestFit="1" customWidth="1"/>
    <col min="14337" max="14337" width="2.7109375" style="92" customWidth="1"/>
    <col min="14338" max="14338" width="15.85546875" style="92" bestFit="1" customWidth="1"/>
    <col min="14339" max="14340" width="14.5703125" style="92" bestFit="1" customWidth="1"/>
    <col min="14341" max="14341" width="2.7109375" style="92" customWidth="1"/>
    <col min="14342" max="14342" width="15.7109375" style="92" bestFit="1" customWidth="1"/>
    <col min="14343" max="14343" width="13.7109375" style="92" bestFit="1" customWidth="1"/>
    <col min="14344" max="14344" width="13.42578125" style="92" bestFit="1" customWidth="1"/>
    <col min="14345" max="14355" width="10.5703125" style="92" bestFit="1" customWidth="1"/>
    <col min="14356" max="14356" width="13.5703125" style="92" customWidth="1"/>
    <col min="14357" max="14357" width="16.5703125" style="92" customWidth="1"/>
    <col min="14358" max="14358" width="14.42578125" style="92" customWidth="1"/>
    <col min="14359" max="14359" width="13.28515625" style="92" bestFit="1" customWidth="1"/>
    <col min="14360" max="14360" width="13.42578125" style="92" bestFit="1" customWidth="1"/>
    <col min="14361" max="14361" width="13" style="92" customWidth="1"/>
    <col min="14362" max="14362" width="11.5703125" style="92" customWidth="1"/>
    <col min="14363" max="14363" width="13.140625" style="92" customWidth="1"/>
    <col min="14364" max="14365" width="11.5703125" style="92" customWidth="1"/>
    <col min="14366" max="14366" width="12.42578125" style="92" customWidth="1"/>
    <col min="14367" max="14367" width="13.5703125" style="92" customWidth="1"/>
    <col min="14368" max="14368" width="13.140625" style="92" bestFit="1" customWidth="1"/>
    <col min="14369" max="14369" width="18.85546875" style="92" customWidth="1"/>
    <col min="14370" max="14371" width="14.140625" style="92" customWidth="1"/>
    <col min="14372" max="14372" width="13.85546875" style="92" customWidth="1"/>
    <col min="14373" max="14373" width="14.140625" style="92" customWidth="1"/>
    <col min="14374" max="14374" width="13.7109375" style="92" customWidth="1"/>
    <col min="14375" max="14375" width="17.140625" style="92" customWidth="1"/>
    <col min="14376" max="14376" width="15.42578125" style="92" customWidth="1"/>
    <col min="14377" max="14377" width="18" style="92" customWidth="1"/>
    <col min="14378" max="14378" width="13.7109375" style="92" bestFit="1" customWidth="1"/>
    <col min="14379" max="14379" width="14.140625" style="92" bestFit="1" customWidth="1"/>
    <col min="14380" max="14380" width="14" style="92" bestFit="1" customWidth="1"/>
    <col min="14381" max="14381" width="14.85546875" style="92" bestFit="1" customWidth="1"/>
    <col min="14382" max="14382" width="15.7109375" style="92" customWidth="1"/>
    <col min="14383" max="14383" width="5.85546875" style="92" customWidth="1"/>
    <col min="14384" max="14384" width="9.28515625" style="92" customWidth="1"/>
    <col min="14385" max="14385" width="14.85546875" style="92" customWidth="1"/>
    <col min="14386" max="14386" width="12.85546875" style="92" bestFit="1" customWidth="1"/>
    <col min="14387" max="14387" width="12.85546875" style="92" customWidth="1"/>
    <col min="14388" max="14405" width="8.85546875" style="92" customWidth="1"/>
    <col min="14406" max="14406" width="30.28515625" style="92" bestFit="1" customWidth="1"/>
    <col min="14407" max="14407" width="20.7109375" style="92" customWidth="1"/>
    <col min="14408" max="14408" width="13.42578125" style="92" customWidth="1"/>
    <col min="14409" max="14409" width="8.85546875" style="92" customWidth="1"/>
    <col min="14410" max="14410" width="11.7109375" style="92" bestFit="1" customWidth="1"/>
    <col min="14411" max="14578" width="8.85546875" style="92" customWidth="1"/>
    <col min="14579" max="14579" width="29.7109375" style="92" customWidth="1"/>
    <col min="14580" max="14582" width="14.28515625" style="92" customWidth="1"/>
    <col min="14583" max="14583" width="2.7109375" style="92" customWidth="1"/>
    <col min="14584" max="14587" width="14.28515625" style="92"/>
    <col min="14588" max="14588" width="9.28515625" style="92" bestFit="1" customWidth="1"/>
    <col min="14589" max="14589" width="48.140625" style="92" customWidth="1"/>
    <col min="14590" max="14590" width="15.85546875" style="92" bestFit="1" customWidth="1"/>
    <col min="14591" max="14591" width="14.85546875" style="92" bestFit="1" customWidth="1"/>
    <col min="14592" max="14592" width="14.7109375" style="92" bestFit="1" customWidth="1"/>
    <col min="14593" max="14593" width="2.7109375" style="92" customWidth="1"/>
    <col min="14594" max="14594" width="15.85546875" style="92" bestFit="1" customWidth="1"/>
    <col min="14595" max="14596" width="14.5703125" style="92" bestFit="1" customWidth="1"/>
    <col min="14597" max="14597" width="2.7109375" style="92" customWidth="1"/>
    <col min="14598" max="14598" width="15.7109375" style="92" bestFit="1" customWidth="1"/>
    <col min="14599" max="14599" width="13.7109375" style="92" bestFit="1" customWidth="1"/>
    <col min="14600" max="14600" width="13.42578125" style="92" bestFit="1" customWidth="1"/>
    <col min="14601" max="14611" width="10.5703125" style="92" bestFit="1" customWidth="1"/>
    <col min="14612" max="14612" width="13.5703125" style="92" customWidth="1"/>
    <col min="14613" max="14613" width="16.5703125" style="92" customWidth="1"/>
    <col min="14614" max="14614" width="14.42578125" style="92" customWidth="1"/>
    <col min="14615" max="14615" width="13.28515625" style="92" bestFit="1" customWidth="1"/>
    <col min="14616" max="14616" width="13.42578125" style="92" bestFit="1" customWidth="1"/>
    <col min="14617" max="14617" width="13" style="92" customWidth="1"/>
    <col min="14618" max="14618" width="11.5703125" style="92" customWidth="1"/>
    <col min="14619" max="14619" width="13.140625" style="92" customWidth="1"/>
    <col min="14620" max="14621" width="11.5703125" style="92" customWidth="1"/>
    <col min="14622" max="14622" width="12.42578125" style="92" customWidth="1"/>
    <col min="14623" max="14623" width="13.5703125" style="92" customWidth="1"/>
    <col min="14624" max="14624" width="13.140625" style="92" bestFit="1" customWidth="1"/>
    <col min="14625" max="14625" width="18.85546875" style="92" customWidth="1"/>
    <col min="14626" max="14627" width="14.140625" style="92" customWidth="1"/>
    <col min="14628" max="14628" width="13.85546875" style="92" customWidth="1"/>
    <col min="14629" max="14629" width="14.140625" style="92" customWidth="1"/>
    <col min="14630" max="14630" width="13.7109375" style="92" customWidth="1"/>
    <col min="14631" max="14631" width="17.140625" style="92" customWidth="1"/>
    <col min="14632" max="14632" width="15.42578125" style="92" customWidth="1"/>
    <col min="14633" max="14633" width="18" style="92" customWidth="1"/>
    <col min="14634" max="14634" width="13.7109375" style="92" bestFit="1" customWidth="1"/>
    <col min="14635" max="14635" width="14.140625" style="92" bestFit="1" customWidth="1"/>
    <col min="14636" max="14636" width="14" style="92" bestFit="1" customWidth="1"/>
    <col min="14637" max="14637" width="14.85546875" style="92" bestFit="1" customWidth="1"/>
    <col min="14638" max="14638" width="15.7109375" style="92" customWidth="1"/>
    <col min="14639" max="14639" width="5.85546875" style="92" customWidth="1"/>
    <col min="14640" max="14640" width="9.28515625" style="92" customWidth="1"/>
    <col min="14641" max="14641" width="14.85546875" style="92" customWidth="1"/>
    <col min="14642" max="14642" width="12.85546875" style="92" bestFit="1" customWidth="1"/>
    <col min="14643" max="14643" width="12.85546875" style="92" customWidth="1"/>
    <col min="14644" max="14661" width="8.85546875" style="92" customWidth="1"/>
    <col min="14662" max="14662" width="30.28515625" style="92" bestFit="1" customWidth="1"/>
    <col min="14663" max="14663" width="20.7109375" style="92" customWidth="1"/>
    <col min="14664" max="14664" width="13.42578125" style="92" customWidth="1"/>
    <col min="14665" max="14665" width="8.85546875" style="92" customWidth="1"/>
    <col min="14666" max="14666" width="11.7109375" style="92" bestFit="1" customWidth="1"/>
    <col min="14667" max="14834" width="8.85546875" style="92" customWidth="1"/>
    <col min="14835" max="14835" width="29.7109375" style="92" customWidth="1"/>
    <col min="14836" max="14838" width="14.28515625" style="92" customWidth="1"/>
    <col min="14839" max="14839" width="2.7109375" style="92" customWidth="1"/>
    <col min="14840" max="14843" width="14.28515625" style="92"/>
    <col min="14844" max="14844" width="9.28515625" style="92" bestFit="1" customWidth="1"/>
    <col min="14845" max="14845" width="48.140625" style="92" customWidth="1"/>
    <col min="14846" max="14846" width="15.85546875" style="92" bestFit="1" customWidth="1"/>
    <col min="14847" max="14847" width="14.85546875" style="92" bestFit="1" customWidth="1"/>
    <col min="14848" max="14848" width="14.7109375" style="92" bestFit="1" customWidth="1"/>
    <col min="14849" max="14849" width="2.7109375" style="92" customWidth="1"/>
    <col min="14850" max="14850" width="15.85546875" style="92" bestFit="1" customWidth="1"/>
    <col min="14851" max="14852" width="14.5703125" style="92" bestFit="1" customWidth="1"/>
    <col min="14853" max="14853" width="2.7109375" style="92" customWidth="1"/>
    <col min="14854" max="14854" width="15.7109375" style="92" bestFit="1" customWidth="1"/>
    <col min="14855" max="14855" width="13.7109375" style="92" bestFit="1" customWidth="1"/>
    <col min="14856" max="14856" width="13.42578125" style="92" bestFit="1" customWidth="1"/>
    <col min="14857" max="14867" width="10.5703125" style="92" bestFit="1" customWidth="1"/>
    <col min="14868" max="14868" width="13.5703125" style="92" customWidth="1"/>
    <col min="14869" max="14869" width="16.5703125" style="92" customWidth="1"/>
    <col min="14870" max="14870" width="14.42578125" style="92" customWidth="1"/>
    <col min="14871" max="14871" width="13.28515625" style="92" bestFit="1" customWidth="1"/>
    <col min="14872" max="14872" width="13.42578125" style="92" bestFit="1" customWidth="1"/>
    <col min="14873" max="14873" width="13" style="92" customWidth="1"/>
    <col min="14874" max="14874" width="11.5703125" style="92" customWidth="1"/>
    <col min="14875" max="14875" width="13.140625" style="92" customWidth="1"/>
    <col min="14876" max="14877" width="11.5703125" style="92" customWidth="1"/>
    <col min="14878" max="14878" width="12.42578125" style="92" customWidth="1"/>
    <col min="14879" max="14879" width="13.5703125" style="92" customWidth="1"/>
    <col min="14880" max="14880" width="13.140625" style="92" bestFit="1" customWidth="1"/>
    <col min="14881" max="14881" width="18.85546875" style="92" customWidth="1"/>
    <col min="14882" max="14883" width="14.140625" style="92" customWidth="1"/>
    <col min="14884" max="14884" width="13.85546875" style="92" customWidth="1"/>
    <col min="14885" max="14885" width="14.140625" style="92" customWidth="1"/>
    <col min="14886" max="14886" width="13.7109375" style="92" customWidth="1"/>
    <col min="14887" max="14887" width="17.140625" style="92" customWidth="1"/>
    <col min="14888" max="14888" width="15.42578125" style="92" customWidth="1"/>
    <col min="14889" max="14889" width="18" style="92" customWidth="1"/>
    <col min="14890" max="14890" width="13.7109375" style="92" bestFit="1" customWidth="1"/>
    <col min="14891" max="14891" width="14.140625" style="92" bestFit="1" customWidth="1"/>
    <col min="14892" max="14892" width="14" style="92" bestFit="1" customWidth="1"/>
    <col min="14893" max="14893" width="14.85546875" style="92" bestFit="1" customWidth="1"/>
    <col min="14894" max="14894" width="15.7109375" style="92" customWidth="1"/>
    <col min="14895" max="14895" width="5.85546875" style="92" customWidth="1"/>
    <col min="14896" max="14896" width="9.28515625" style="92" customWidth="1"/>
    <col min="14897" max="14897" width="14.85546875" style="92" customWidth="1"/>
    <col min="14898" max="14898" width="12.85546875" style="92" bestFit="1" customWidth="1"/>
    <col min="14899" max="14899" width="12.85546875" style="92" customWidth="1"/>
    <col min="14900" max="14917" width="8.85546875" style="92" customWidth="1"/>
    <col min="14918" max="14918" width="30.28515625" style="92" bestFit="1" customWidth="1"/>
    <col min="14919" max="14919" width="20.7109375" style="92" customWidth="1"/>
    <col min="14920" max="14920" width="13.42578125" style="92" customWidth="1"/>
    <col min="14921" max="14921" width="8.85546875" style="92" customWidth="1"/>
    <col min="14922" max="14922" width="11.7109375" style="92" bestFit="1" customWidth="1"/>
    <col min="14923" max="15090" width="8.85546875" style="92" customWidth="1"/>
    <col min="15091" max="15091" width="29.7109375" style="92" customWidth="1"/>
    <col min="15092" max="15094" width="14.28515625" style="92" customWidth="1"/>
    <col min="15095" max="15095" width="2.7109375" style="92" customWidth="1"/>
    <col min="15096" max="15099" width="14.28515625" style="92"/>
    <col min="15100" max="15100" width="9.28515625" style="92" bestFit="1" customWidth="1"/>
    <col min="15101" max="15101" width="48.140625" style="92" customWidth="1"/>
    <col min="15102" max="15102" width="15.85546875" style="92" bestFit="1" customWidth="1"/>
    <col min="15103" max="15103" width="14.85546875" style="92" bestFit="1" customWidth="1"/>
    <col min="15104" max="15104" width="14.7109375" style="92" bestFit="1" customWidth="1"/>
    <col min="15105" max="15105" width="2.7109375" style="92" customWidth="1"/>
    <col min="15106" max="15106" width="15.85546875" style="92" bestFit="1" customWidth="1"/>
    <col min="15107" max="15108" width="14.5703125" style="92" bestFit="1" customWidth="1"/>
    <col min="15109" max="15109" width="2.7109375" style="92" customWidth="1"/>
    <col min="15110" max="15110" width="15.7109375" style="92" bestFit="1" customWidth="1"/>
    <col min="15111" max="15111" width="13.7109375" style="92" bestFit="1" customWidth="1"/>
    <col min="15112" max="15112" width="13.42578125" style="92" bestFit="1" customWidth="1"/>
    <col min="15113" max="15123" width="10.5703125" style="92" bestFit="1" customWidth="1"/>
    <col min="15124" max="15124" width="13.5703125" style="92" customWidth="1"/>
    <col min="15125" max="15125" width="16.5703125" style="92" customWidth="1"/>
    <col min="15126" max="15126" width="14.42578125" style="92" customWidth="1"/>
    <col min="15127" max="15127" width="13.28515625" style="92" bestFit="1" customWidth="1"/>
    <col min="15128" max="15128" width="13.42578125" style="92" bestFit="1" customWidth="1"/>
    <col min="15129" max="15129" width="13" style="92" customWidth="1"/>
    <col min="15130" max="15130" width="11.5703125" style="92" customWidth="1"/>
    <col min="15131" max="15131" width="13.140625" style="92" customWidth="1"/>
    <col min="15132" max="15133" width="11.5703125" style="92" customWidth="1"/>
    <col min="15134" max="15134" width="12.42578125" style="92" customWidth="1"/>
    <col min="15135" max="15135" width="13.5703125" style="92" customWidth="1"/>
    <col min="15136" max="15136" width="13.140625" style="92" bestFit="1" customWidth="1"/>
    <col min="15137" max="15137" width="18.85546875" style="92" customWidth="1"/>
    <col min="15138" max="15139" width="14.140625" style="92" customWidth="1"/>
    <col min="15140" max="15140" width="13.85546875" style="92" customWidth="1"/>
    <col min="15141" max="15141" width="14.140625" style="92" customWidth="1"/>
    <col min="15142" max="15142" width="13.7109375" style="92" customWidth="1"/>
    <col min="15143" max="15143" width="17.140625" style="92" customWidth="1"/>
    <col min="15144" max="15144" width="15.42578125" style="92" customWidth="1"/>
    <col min="15145" max="15145" width="18" style="92" customWidth="1"/>
    <col min="15146" max="15146" width="13.7109375" style="92" bestFit="1" customWidth="1"/>
    <col min="15147" max="15147" width="14.140625" style="92" bestFit="1" customWidth="1"/>
    <col min="15148" max="15148" width="14" style="92" bestFit="1" customWidth="1"/>
    <col min="15149" max="15149" width="14.85546875" style="92" bestFit="1" customWidth="1"/>
    <col min="15150" max="15150" width="15.7109375" style="92" customWidth="1"/>
    <col min="15151" max="15151" width="5.85546875" style="92" customWidth="1"/>
    <col min="15152" max="15152" width="9.28515625" style="92" customWidth="1"/>
    <col min="15153" max="15153" width="14.85546875" style="92" customWidth="1"/>
    <col min="15154" max="15154" width="12.85546875" style="92" bestFit="1" customWidth="1"/>
    <col min="15155" max="15155" width="12.85546875" style="92" customWidth="1"/>
    <col min="15156" max="15173" width="8.85546875" style="92" customWidth="1"/>
    <col min="15174" max="15174" width="30.28515625" style="92" bestFit="1" customWidth="1"/>
    <col min="15175" max="15175" width="20.7109375" style="92" customWidth="1"/>
    <col min="15176" max="15176" width="13.42578125" style="92" customWidth="1"/>
    <col min="15177" max="15177" width="8.85546875" style="92" customWidth="1"/>
    <col min="15178" max="15178" width="11.7109375" style="92" bestFit="1" customWidth="1"/>
    <col min="15179" max="15346" width="8.85546875" style="92" customWidth="1"/>
    <col min="15347" max="15347" width="29.7109375" style="92" customWidth="1"/>
    <col min="15348" max="15350" width="14.28515625" style="92" customWidth="1"/>
    <col min="15351" max="15351" width="2.7109375" style="92" customWidth="1"/>
    <col min="15352" max="15355" width="14.28515625" style="92"/>
    <col min="15356" max="15356" width="9.28515625" style="92" bestFit="1" customWidth="1"/>
    <col min="15357" max="15357" width="48.140625" style="92" customWidth="1"/>
    <col min="15358" max="15358" width="15.85546875" style="92" bestFit="1" customWidth="1"/>
    <col min="15359" max="15359" width="14.85546875" style="92" bestFit="1" customWidth="1"/>
    <col min="15360" max="15360" width="14.7109375" style="92" bestFit="1" customWidth="1"/>
    <col min="15361" max="15361" width="2.7109375" style="92" customWidth="1"/>
    <col min="15362" max="15362" width="15.85546875" style="92" bestFit="1" customWidth="1"/>
    <col min="15363" max="15364" width="14.5703125" style="92" bestFit="1" customWidth="1"/>
    <col min="15365" max="15365" width="2.7109375" style="92" customWidth="1"/>
    <col min="15366" max="15366" width="15.7109375" style="92" bestFit="1" customWidth="1"/>
    <col min="15367" max="15367" width="13.7109375" style="92" bestFit="1" customWidth="1"/>
    <col min="15368" max="15368" width="13.42578125" style="92" bestFit="1" customWidth="1"/>
    <col min="15369" max="15379" width="10.5703125" style="92" bestFit="1" customWidth="1"/>
    <col min="15380" max="15380" width="13.5703125" style="92" customWidth="1"/>
    <col min="15381" max="15381" width="16.5703125" style="92" customWidth="1"/>
    <col min="15382" max="15382" width="14.42578125" style="92" customWidth="1"/>
    <col min="15383" max="15383" width="13.28515625" style="92" bestFit="1" customWidth="1"/>
    <col min="15384" max="15384" width="13.42578125" style="92" bestFit="1" customWidth="1"/>
    <col min="15385" max="15385" width="13" style="92" customWidth="1"/>
    <col min="15386" max="15386" width="11.5703125" style="92" customWidth="1"/>
    <col min="15387" max="15387" width="13.140625" style="92" customWidth="1"/>
    <col min="15388" max="15389" width="11.5703125" style="92" customWidth="1"/>
    <col min="15390" max="15390" width="12.42578125" style="92" customWidth="1"/>
    <col min="15391" max="15391" width="13.5703125" style="92" customWidth="1"/>
    <col min="15392" max="15392" width="13.140625" style="92" bestFit="1" customWidth="1"/>
    <col min="15393" max="15393" width="18.85546875" style="92" customWidth="1"/>
    <col min="15394" max="15395" width="14.140625" style="92" customWidth="1"/>
    <col min="15396" max="15396" width="13.85546875" style="92" customWidth="1"/>
    <col min="15397" max="15397" width="14.140625" style="92" customWidth="1"/>
    <col min="15398" max="15398" width="13.7109375" style="92" customWidth="1"/>
    <col min="15399" max="15399" width="17.140625" style="92" customWidth="1"/>
    <col min="15400" max="15400" width="15.42578125" style="92" customWidth="1"/>
    <col min="15401" max="15401" width="18" style="92" customWidth="1"/>
    <col min="15402" max="15402" width="13.7109375" style="92" bestFit="1" customWidth="1"/>
    <col min="15403" max="15403" width="14.140625" style="92" bestFit="1" customWidth="1"/>
    <col min="15404" max="15404" width="14" style="92" bestFit="1" customWidth="1"/>
    <col min="15405" max="15405" width="14.85546875" style="92" bestFit="1" customWidth="1"/>
    <col min="15406" max="15406" width="15.7109375" style="92" customWidth="1"/>
    <col min="15407" max="15407" width="5.85546875" style="92" customWidth="1"/>
    <col min="15408" max="15408" width="9.28515625" style="92" customWidth="1"/>
    <col min="15409" max="15409" width="14.85546875" style="92" customWidth="1"/>
    <col min="15410" max="15410" width="12.85546875" style="92" bestFit="1" customWidth="1"/>
    <col min="15411" max="15411" width="12.85546875" style="92" customWidth="1"/>
    <col min="15412" max="15429" width="8.85546875" style="92" customWidth="1"/>
    <col min="15430" max="15430" width="30.28515625" style="92" bestFit="1" customWidth="1"/>
    <col min="15431" max="15431" width="20.7109375" style="92" customWidth="1"/>
    <col min="15432" max="15432" width="13.42578125" style="92" customWidth="1"/>
    <col min="15433" max="15433" width="8.85546875" style="92" customWidth="1"/>
    <col min="15434" max="15434" width="11.7109375" style="92" bestFit="1" customWidth="1"/>
    <col min="15435" max="15602" width="8.85546875" style="92" customWidth="1"/>
    <col min="15603" max="15603" width="29.7109375" style="92" customWidth="1"/>
    <col min="15604" max="15606" width="14.28515625" style="92" customWidth="1"/>
    <col min="15607" max="15607" width="2.7109375" style="92" customWidth="1"/>
    <col min="15608" max="15611" width="14.28515625" style="92"/>
    <col min="15612" max="15612" width="9.28515625" style="92" bestFit="1" customWidth="1"/>
    <col min="15613" max="15613" width="48.140625" style="92" customWidth="1"/>
    <col min="15614" max="15614" width="15.85546875" style="92" bestFit="1" customWidth="1"/>
    <col min="15615" max="15615" width="14.85546875" style="92" bestFit="1" customWidth="1"/>
    <col min="15616" max="15616" width="14.7109375" style="92" bestFit="1" customWidth="1"/>
    <col min="15617" max="15617" width="2.7109375" style="92" customWidth="1"/>
    <col min="15618" max="15618" width="15.85546875" style="92" bestFit="1" customWidth="1"/>
    <col min="15619" max="15620" width="14.5703125" style="92" bestFit="1" customWidth="1"/>
    <col min="15621" max="15621" width="2.7109375" style="92" customWidth="1"/>
    <col min="15622" max="15622" width="15.7109375" style="92" bestFit="1" customWidth="1"/>
    <col min="15623" max="15623" width="13.7109375" style="92" bestFit="1" customWidth="1"/>
    <col min="15624" max="15624" width="13.42578125" style="92" bestFit="1" customWidth="1"/>
    <col min="15625" max="15635" width="10.5703125" style="92" bestFit="1" customWidth="1"/>
    <col min="15636" max="15636" width="13.5703125" style="92" customWidth="1"/>
    <col min="15637" max="15637" width="16.5703125" style="92" customWidth="1"/>
    <col min="15638" max="15638" width="14.42578125" style="92" customWidth="1"/>
    <col min="15639" max="15639" width="13.28515625" style="92" bestFit="1" customWidth="1"/>
    <col min="15640" max="15640" width="13.42578125" style="92" bestFit="1" customWidth="1"/>
    <col min="15641" max="15641" width="13" style="92" customWidth="1"/>
    <col min="15642" max="15642" width="11.5703125" style="92" customWidth="1"/>
    <col min="15643" max="15643" width="13.140625" style="92" customWidth="1"/>
    <col min="15644" max="15645" width="11.5703125" style="92" customWidth="1"/>
    <col min="15646" max="15646" width="12.42578125" style="92" customWidth="1"/>
    <col min="15647" max="15647" width="13.5703125" style="92" customWidth="1"/>
    <col min="15648" max="15648" width="13.140625" style="92" bestFit="1" customWidth="1"/>
    <col min="15649" max="15649" width="18.85546875" style="92" customWidth="1"/>
    <col min="15650" max="15651" width="14.140625" style="92" customWidth="1"/>
    <col min="15652" max="15652" width="13.85546875" style="92" customWidth="1"/>
    <col min="15653" max="15653" width="14.140625" style="92" customWidth="1"/>
    <col min="15654" max="15654" width="13.7109375" style="92" customWidth="1"/>
    <col min="15655" max="15655" width="17.140625" style="92" customWidth="1"/>
    <col min="15656" max="15656" width="15.42578125" style="92" customWidth="1"/>
    <col min="15657" max="15657" width="18" style="92" customWidth="1"/>
    <col min="15658" max="15658" width="13.7109375" style="92" bestFit="1" customWidth="1"/>
    <col min="15659" max="15659" width="14.140625" style="92" bestFit="1" customWidth="1"/>
    <col min="15660" max="15660" width="14" style="92" bestFit="1" customWidth="1"/>
    <col min="15661" max="15661" width="14.85546875" style="92" bestFit="1" customWidth="1"/>
    <col min="15662" max="15662" width="15.7109375" style="92" customWidth="1"/>
    <col min="15663" max="15663" width="5.85546875" style="92" customWidth="1"/>
    <col min="15664" max="15664" width="9.28515625" style="92" customWidth="1"/>
    <col min="15665" max="15665" width="14.85546875" style="92" customWidth="1"/>
    <col min="15666" max="15666" width="12.85546875" style="92" bestFit="1" customWidth="1"/>
    <col min="15667" max="15667" width="12.85546875" style="92" customWidth="1"/>
    <col min="15668" max="15685" width="8.85546875" style="92" customWidth="1"/>
    <col min="15686" max="15686" width="30.28515625" style="92" bestFit="1" customWidth="1"/>
    <col min="15687" max="15687" width="20.7109375" style="92" customWidth="1"/>
    <col min="15688" max="15688" width="13.42578125" style="92" customWidth="1"/>
    <col min="15689" max="15689" width="8.85546875" style="92" customWidth="1"/>
    <col min="15690" max="15690" width="11.7109375" style="92" bestFit="1" customWidth="1"/>
    <col min="15691" max="15858" width="8.85546875" style="92" customWidth="1"/>
    <col min="15859" max="15859" width="29.7109375" style="92" customWidth="1"/>
    <col min="15860" max="15862" width="14.28515625" style="92" customWidth="1"/>
    <col min="15863" max="15863" width="2.7109375" style="92" customWidth="1"/>
    <col min="15864" max="15867" width="14.28515625" style="92"/>
    <col min="15868" max="15868" width="9.28515625" style="92" bestFit="1" customWidth="1"/>
    <col min="15869" max="15869" width="48.140625" style="92" customWidth="1"/>
    <col min="15870" max="15870" width="15.85546875" style="92" bestFit="1" customWidth="1"/>
    <col min="15871" max="15871" width="14.85546875" style="92" bestFit="1" customWidth="1"/>
    <col min="15872" max="15872" width="14.7109375" style="92" bestFit="1" customWidth="1"/>
    <col min="15873" max="15873" width="2.7109375" style="92" customWidth="1"/>
    <col min="15874" max="15874" width="15.85546875" style="92" bestFit="1" customWidth="1"/>
    <col min="15875" max="15876" width="14.5703125" style="92" bestFit="1" customWidth="1"/>
    <col min="15877" max="15877" width="2.7109375" style="92" customWidth="1"/>
    <col min="15878" max="15878" width="15.7109375" style="92" bestFit="1" customWidth="1"/>
    <col min="15879" max="15879" width="13.7109375" style="92" bestFit="1" customWidth="1"/>
    <col min="15880" max="15880" width="13.42578125" style="92" bestFit="1" customWidth="1"/>
    <col min="15881" max="15891" width="10.5703125" style="92" bestFit="1" customWidth="1"/>
    <col min="15892" max="15892" width="13.5703125" style="92" customWidth="1"/>
    <col min="15893" max="15893" width="16.5703125" style="92" customWidth="1"/>
    <col min="15894" max="15894" width="14.42578125" style="92" customWidth="1"/>
    <col min="15895" max="15895" width="13.28515625" style="92" bestFit="1" customWidth="1"/>
    <col min="15896" max="15896" width="13.42578125" style="92" bestFit="1" customWidth="1"/>
    <col min="15897" max="15897" width="13" style="92" customWidth="1"/>
    <col min="15898" max="15898" width="11.5703125" style="92" customWidth="1"/>
    <col min="15899" max="15899" width="13.140625" style="92" customWidth="1"/>
    <col min="15900" max="15901" width="11.5703125" style="92" customWidth="1"/>
    <col min="15902" max="15902" width="12.42578125" style="92" customWidth="1"/>
    <col min="15903" max="15903" width="13.5703125" style="92" customWidth="1"/>
    <col min="15904" max="15904" width="13.140625" style="92" bestFit="1" customWidth="1"/>
    <col min="15905" max="15905" width="18.85546875" style="92" customWidth="1"/>
    <col min="15906" max="15907" width="14.140625" style="92" customWidth="1"/>
    <col min="15908" max="15908" width="13.85546875" style="92" customWidth="1"/>
    <col min="15909" max="15909" width="14.140625" style="92" customWidth="1"/>
    <col min="15910" max="15910" width="13.7109375" style="92" customWidth="1"/>
    <col min="15911" max="15911" width="17.140625" style="92" customWidth="1"/>
    <col min="15912" max="15912" width="15.42578125" style="92" customWidth="1"/>
    <col min="15913" max="15913" width="18" style="92" customWidth="1"/>
    <col min="15914" max="15914" width="13.7109375" style="92" bestFit="1" customWidth="1"/>
    <col min="15915" max="15915" width="14.140625" style="92" bestFit="1" customWidth="1"/>
    <col min="15916" max="15916" width="14" style="92" bestFit="1" customWidth="1"/>
    <col min="15917" max="15917" width="14.85546875" style="92" bestFit="1" customWidth="1"/>
    <col min="15918" max="15918" width="15.7109375" style="92" customWidth="1"/>
    <col min="15919" max="15919" width="5.85546875" style="92" customWidth="1"/>
    <col min="15920" max="15920" width="9.28515625" style="92" customWidth="1"/>
    <col min="15921" max="15921" width="14.85546875" style="92" customWidth="1"/>
    <col min="15922" max="15922" width="12.85546875" style="92" bestFit="1" customWidth="1"/>
    <col min="15923" max="15923" width="12.85546875" style="92" customWidth="1"/>
    <col min="15924" max="15941" width="8.85546875" style="92" customWidth="1"/>
    <col min="15942" max="15942" width="30.28515625" style="92" bestFit="1" customWidth="1"/>
    <col min="15943" max="15943" width="20.7109375" style="92" customWidth="1"/>
    <col min="15944" max="15944" width="13.42578125" style="92" customWidth="1"/>
    <col min="15945" max="15945" width="8.85546875" style="92" customWidth="1"/>
    <col min="15946" max="15946" width="11.7109375" style="92" bestFit="1" customWidth="1"/>
    <col min="15947" max="16114" width="8.85546875" style="92" customWidth="1"/>
    <col min="16115" max="16115" width="29.7109375" style="92" customWidth="1"/>
    <col min="16116" max="16118" width="14.28515625" style="92" customWidth="1"/>
    <col min="16119" max="16119" width="2.7109375" style="92" customWidth="1"/>
    <col min="16120" max="16123" width="14.28515625" style="92"/>
    <col min="16124" max="16124" width="9.28515625" style="92" bestFit="1" customWidth="1"/>
    <col min="16125" max="16125" width="48.140625" style="92" customWidth="1"/>
    <col min="16126" max="16126" width="15.85546875" style="92" bestFit="1" customWidth="1"/>
    <col min="16127" max="16127" width="14.85546875" style="92" bestFit="1" customWidth="1"/>
    <col min="16128" max="16128" width="14.7109375" style="92" bestFit="1" customWidth="1"/>
    <col min="16129" max="16129" width="2.7109375" style="92" customWidth="1"/>
    <col min="16130" max="16130" width="15.85546875" style="92" bestFit="1" customWidth="1"/>
    <col min="16131" max="16132" width="14.5703125" style="92" bestFit="1" customWidth="1"/>
    <col min="16133" max="16133" width="2.7109375" style="92" customWidth="1"/>
    <col min="16134" max="16134" width="15.7109375" style="92" bestFit="1" customWidth="1"/>
    <col min="16135" max="16135" width="13.7109375" style="92" bestFit="1" customWidth="1"/>
    <col min="16136" max="16136" width="13.42578125" style="92" bestFit="1" customWidth="1"/>
    <col min="16137" max="16147" width="10.5703125" style="92" bestFit="1" customWidth="1"/>
    <col min="16148" max="16148" width="13.5703125" style="92" customWidth="1"/>
    <col min="16149" max="16149" width="16.5703125" style="92" customWidth="1"/>
    <col min="16150" max="16150" width="14.42578125" style="92" customWidth="1"/>
    <col min="16151" max="16151" width="13.28515625" style="92" bestFit="1" customWidth="1"/>
    <col min="16152" max="16152" width="13.42578125" style="92" bestFit="1" customWidth="1"/>
    <col min="16153" max="16153" width="13" style="92" customWidth="1"/>
    <col min="16154" max="16154" width="11.5703125" style="92" customWidth="1"/>
    <col min="16155" max="16155" width="13.140625" style="92" customWidth="1"/>
    <col min="16156" max="16157" width="11.5703125" style="92" customWidth="1"/>
    <col min="16158" max="16158" width="12.42578125" style="92" customWidth="1"/>
    <col min="16159" max="16159" width="13.5703125" style="92" customWidth="1"/>
    <col min="16160" max="16160" width="13.140625" style="92" bestFit="1" customWidth="1"/>
    <col min="16161" max="16161" width="18.85546875" style="92" customWidth="1"/>
    <col min="16162" max="16163" width="14.140625" style="92" customWidth="1"/>
    <col min="16164" max="16164" width="13.85546875" style="92" customWidth="1"/>
    <col min="16165" max="16165" width="14.140625" style="92" customWidth="1"/>
    <col min="16166" max="16166" width="13.7109375" style="92" customWidth="1"/>
    <col min="16167" max="16167" width="17.140625" style="92" customWidth="1"/>
    <col min="16168" max="16168" width="15.42578125" style="92" customWidth="1"/>
    <col min="16169" max="16169" width="18" style="92" customWidth="1"/>
    <col min="16170" max="16170" width="13.7109375" style="92" bestFit="1" customWidth="1"/>
    <col min="16171" max="16171" width="14.140625" style="92" bestFit="1" customWidth="1"/>
    <col min="16172" max="16172" width="14" style="92" bestFit="1" customWidth="1"/>
    <col min="16173" max="16173" width="14.85546875" style="92" bestFit="1" customWidth="1"/>
    <col min="16174" max="16174" width="15.7109375" style="92" customWidth="1"/>
    <col min="16175" max="16175" width="5.85546875" style="92" customWidth="1"/>
    <col min="16176" max="16176" width="9.28515625" style="92" customWidth="1"/>
    <col min="16177" max="16177" width="14.85546875" style="92" customWidth="1"/>
    <col min="16178" max="16178" width="12.85546875" style="92" bestFit="1" customWidth="1"/>
    <col min="16179" max="16179" width="12.85546875" style="92" customWidth="1"/>
    <col min="16180" max="16197" width="8.85546875" style="92" customWidth="1"/>
    <col min="16198" max="16198" width="30.28515625" style="92" bestFit="1" customWidth="1"/>
    <col min="16199" max="16199" width="20.7109375" style="92" customWidth="1"/>
    <col min="16200" max="16200" width="13.42578125" style="92" customWidth="1"/>
    <col min="16201" max="16201" width="8.85546875" style="92" customWidth="1"/>
    <col min="16202" max="16202" width="11.7109375" style="92" bestFit="1" customWidth="1"/>
    <col min="16203" max="16370" width="8.85546875" style="92" customWidth="1"/>
    <col min="16371" max="16371" width="29.7109375" style="92" customWidth="1"/>
    <col min="16372" max="16374" width="14.28515625" style="92" customWidth="1"/>
    <col min="16375" max="16375" width="2.7109375" style="92" customWidth="1"/>
    <col min="16376" max="16384" width="14.28515625" style="92"/>
  </cols>
  <sheetData>
    <row r="1" spans="1:60" x14ac:dyDescent="0.25">
      <c r="O1" s="289"/>
      <c r="U1" s="93">
        <v>2</v>
      </c>
      <c r="AA1" s="289"/>
      <c r="AM1" s="190"/>
      <c r="AN1" s="95"/>
      <c r="AO1" s="97"/>
      <c r="AP1" s="97"/>
      <c r="AQ1" s="95"/>
      <c r="AR1" s="95"/>
    </row>
    <row r="2" spans="1:60" x14ac:dyDescent="0.25">
      <c r="C2" s="98"/>
      <c r="D2" s="99"/>
      <c r="E2" s="98"/>
      <c r="F2" s="98"/>
      <c r="G2" s="98"/>
      <c r="H2" s="99"/>
      <c r="I2" s="98"/>
      <c r="J2" s="98"/>
      <c r="K2" s="98"/>
      <c r="L2" s="99"/>
      <c r="M2" s="98"/>
      <c r="O2" s="289"/>
      <c r="U2" s="98"/>
      <c r="V2" s="98"/>
      <c r="W2" s="98"/>
      <c r="X2" s="98"/>
      <c r="Y2" s="98"/>
      <c r="Z2" s="98"/>
      <c r="AA2" s="289"/>
      <c r="AM2" s="190"/>
      <c r="AN2" s="95"/>
      <c r="AO2" s="95"/>
      <c r="AP2" s="95"/>
      <c r="AQ2" s="95"/>
      <c r="AR2" s="95"/>
    </row>
    <row r="3" spans="1:60" s="100" customFormat="1" x14ac:dyDescent="0.25">
      <c r="B3" s="253"/>
      <c r="C3" s="101"/>
      <c r="D3" s="102"/>
      <c r="E3" s="305"/>
      <c r="F3" s="101"/>
      <c r="G3" s="101"/>
      <c r="H3" s="102"/>
      <c r="I3" s="101"/>
      <c r="J3" s="101"/>
      <c r="K3" s="101"/>
      <c r="L3" s="102"/>
      <c r="M3" s="101"/>
      <c r="O3" s="103" t="str">
        <f>Z3</f>
        <v>Customers</v>
      </c>
      <c r="P3" s="103" t="str">
        <f t="shared" ref="P3:T3" si="0">O3</f>
        <v>Customers</v>
      </c>
      <c r="Q3" s="103" t="str">
        <f t="shared" si="0"/>
        <v>Customers</v>
      </c>
      <c r="R3" s="103" t="str">
        <f t="shared" si="0"/>
        <v>Customers</v>
      </c>
      <c r="S3" s="103" t="str">
        <f t="shared" si="0"/>
        <v>Customers</v>
      </c>
      <c r="T3" s="103" t="str">
        <f t="shared" si="0"/>
        <v>Customers</v>
      </c>
      <c r="U3" s="103" t="s">
        <v>212</v>
      </c>
      <c r="V3" s="103" t="str">
        <f>U3</f>
        <v>Customers</v>
      </c>
      <c r="W3" s="103" t="str">
        <f>V3</f>
        <v>Customers</v>
      </c>
      <c r="X3" s="103" t="str">
        <f>W3</f>
        <v>Customers</v>
      </c>
      <c r="Y3" s="103" t="str">
        <f>X3</f>
        <v>Customers</v>
      </c>
      <c r="Z3" s="103" t="str">
        <f>Y3</f>
        <v>Customers</v>
      </c>
      <c r="AA3" s="104" t="s">
        <v>147</v>
      </c>
      <c r="AB3" s="104" t="s">
        <v>147</v>
      </c>
      <c r="AC3" s="104" t="s">
        <v>147</v>
      </c>
      <c r="AD3" s="104" t="s">
        <v>147</v>
      </c>
      <c r="AE3" s="104" t="s">
        <v>147</v>
      </c>
      <c r="AF3" s="104" t="s">
        <v>147</v>
      </c>
      <c r="AG3" s="290" t="s">
        <v>147</v>
      </c>
      <c r="AH3" s="290" t="s">
        <v>147</v>
      </c>
      <c r="AI3" s="290" t="s">
        <v>147</v>
      </c>
      <c r="AJ3" s="290" t="s">
        <v>147</v>
      </c>
      <c r="AK3" s="290" t="s">
        <v>147</v>
      </c>
      <c r="AL3" s="290" t="s">
        <v>147</v>
      </c>
      <c r="AM3" s="105" t="s">
        <v>148</v>
      </c>
      <c r="AN3" s="105" t="s">
        <v>148</v>
      </c>
      <c r="AO3" s="105" t="s">
        <v>148</v>
      </c>
      <c r="AP3" s="105" t="s">
        <v>148</v>
      </c>
      <c r="AQ3" s="105" t="s">
        <v>148</v>
      </c>
      <c r="AR3" s="105" t="s">
        <v>148</v>
      </c>
      <c r="AS3" s="105" t="s">
        <v>148</v>
      </c>
      <c r="AT3" s="105" t="s">
        <v>148</v>
      </c>
      <c r="AU3" s="105" t="s">
        <v>148</v>
      </c>
      <c r="AV3" s="105" t="s">
        <v>148</v>
      </c>
      <c r="AW3" s="105" t="s">
        <v>148</v>
      </c>
      <c r="AX3" s="105" t="s">
        <v>148</v>
      </c>
      <c r="BA3"/>
      <c r="BB3"/>
      <c r="BC3"/>
      <c r="BD3"/>
      <c r="BE3"/>
      <c r="BF3"/>
      <c r="BG3"/>
      <c r="BH3"/>
    </row>
    <row r="4" spans="1:60" x14ac:dyDescent="0.25">
      <c r="C4" s="832" t="s">
        <v>545</v>
      </c>
      <c r="D4" s="833"/>
      <c r="E4" s="833"/>
      <c r="F4" s="106"/>
      <c r="G4" s="832" t="s">
        <v>546</v>
      </c>
      <c r="H4" s="832"/>
      <c r="I4" s="832"/>
      <c r="J4" s="106"/>
      <c r="K4" s="832" t="s">
        <v>547</v>
      </c>
      <c r="L4" s="832"/>
      <c r="M4" s="832"/>
      <c r="O4" s="107">
        <v>42917</v>
      </c>
      <c r="P4" s="107">
        <f>EDATE(O4,1)</f>
        <v>42948</v>
      </c>
      <c r="Q4" s="107">
        <f>EDATE(P4,1)</f>
        <v>42979</v>
      </c>
      <c r="R4" s="107">
        <f t="shared" ref="R4:Z4" si="1">EDATE(Q4,1)</f>
        <v>43009</v>
      </c>
      <c r="S4" s="107">
        <f t="shared" si="1"/>
        <v>43040</v>
      </c>
      <c r="T4" s="107">
        <f t="shared" si="1"/>
        <v>43070</v>
      </c>
      <c r="U4" s="107">
        <f t="shared" si="1"/>
        <v>43101</v>
      </c>
      <c r="V4" s="107">
        <f t="shared" si="1"/>
        <v>43132</v>
      </c>
      <c r="W4" s="107">
        <f t="shared" si="1"/>
        <v>43160</v>
      </c>
      <c r="X4" s="107">
        <f t="shared" si="1"/>
        <v>43191</v>
      </c>
      <c r="Y4" s="107">
        <f t="shared" si="1"/>
        <v>43221</v>
      </c>
      <c r="Z4" s="107">
        <f t="shared" si="1"/>
        <v>43252</v>
      </c>
      <c r="AA4" s="108">
        <f>O4</f>
        <v>42917</v>
      </c>
      <c r="AB4" s="108">
        <f>EDATE(AA4,1)</f>
        <v>42948</v>
      </c>
      <c r="AC4" s="108">
        <f t="shared" ref="AC4:AL4" si="2">EDATE(AB4,1)</f>
        <v>42979</v>
      </c>
      <c r="AD4" s="108">
        <f t="shared" si="2"/>
        <v>43009</v>
      </c>
      <c r="AE4" s="108">
        <f t="shared" si="2"/>
        <v>43040</v>
      </c>
      <c r="AF4" s="108">
        <f t="shared" si="2"/>
        <v>43070</v>
      </c>
      <c r="AG4" s="108">
        <f t="shared" si="2"/>
        <v>43101</v>
      </c>
      <c r="AH4" s="108">
        <f t="shared" si="2"/>
        <v>43132</v>
      </c>
      <c r="AI4" s="108">
        <f t="shared" si="2"/>
        <v>43160</v>
      </c>
      <c r="AJ4" s="108">
        <f t="shared" si="2"/>
        <v>43191</v>
      </c>
      <c r="AK4" s="108">
        <f t="shared" si="2"/>
        <v>43221</v>
      </c>
      <c r="AL4" s="108">
        <f t="shared" si="2"/>
        <v>43252</v>
      </c>
      <c r="AM4" s="107">
        <f>AA4</f>
        <v>42917</v>
      </c>
      <c r="AN4" s="107">
        <f>AB4</f>
        <v>42948</v>
      </c>
      <c r="AO4" s="107">
        <f>AC4</f>
        <v>42979</v>
      </c>
      <c r="AP4" s="107">
        <f>AD4</f>
        <v>43009</v>
      </c>
      <c r="AQ4" s="107">
        <f>AE4</f>
        <v>43040</v>
      </c>
      <c r="AR4" s="107">
        <f t="shared" ref="AR4:AX4" si="3">AF4</f>
        <v>43070</v>
      </c>
      <c r="AS4" s="107">
        <f t="shared" si="3"/>
        <v>43101</v>
      </c>
      <c r="AT4" s="107">
        <f t="shared" si="3"/>
        <v>43132</v>
      </c>
      <c r="AU4" s="107">
        <f t="shared" si="3"/>
        <v>43160</v>
      </c>
      <c r="AV4" s="107">
        <f t="shared" si="3"/>
        <v>43191</v>
      </c>
      <c r="AW4" s="107">
        <f t="shared" si="3"/>
        <v>43221</v>
      </c>
      <c r="AX4" s="107">
        <f t="shared" si="3"/>
        <v>43252</v>
      </c>
    </row>
    <row r="5" spans="1:60" ht="13.15" customHeight="1" x14ac:dyDescent="0.25">
      <c r="C5" s="291" t="s">
        <v>290</v>
      </c>
      <c r="D5" s="294" t="s">
        <v>291</v>
      </c>
      <c r="E5" s="291" t="s">
        <v>148</v>
      </c>
      <c r="F5" s="111"/>
      <c r="G5" s="291" t="s">
        <v>290</v>
      </c>
      <c r="H5" s="294" t="s">
        <v>291</v>
      </c>
      <c r="I5" s="291" t="s">
        <v>148</v>
      </c>
      <c r="J5" s="111"/>
      <c r="K5" s="390" t="s">
        <v>290</v>
      </c>
      <c r="L5" s="390" t="s">
        <v>291</v>
      </c>
      <c r="M5" s="391" t="s">
        <v>148</v>
      </c>
      <c r="O5" s="112"/>
      <c r="P5" s="112"/>
      <c r="Q5" s="112"/>
      <c r="R5" s="113"/>
      <c r="S5" s="113"/>
      <c r="T5" s="113"/>
      <c r="U5" s="152"/>
      <c r="V5" s="152"/>
      <c r="W5" s="152"/>
      <c r="X5" s="152"/>
      <c r="Y5" s="152"/>
      <c r="Z5" s="152"/>
      <c r="AA5" s="114"/>
      <c r="AB5" s="114"/>
      <c r="AC5" s="114"/>
      <c r="AD5" s="114"/>
      <c r="AE5" s="114"/>
      <c r="AF5" s="114"/>
      <c r="AG5" s="153"/>
      <c r="AH5" s="153"/>
      <c r="AI5" s="153"/>
      <c r="AJ5" s="153"/>
      <c r="AK5" s="153"/>
      <c r="AL5" s="153"/>
      <c r="AM5" s="115">
        <v>0.1</v>
      </c>
      <c r="AN5" s="115">
        <f t="shared" ref="AN5:AR5" si="4">AM5</f>
        <v>0.1</v>
      </c>
      <c r="AO5" s="115">
        <f t="shared" si="4"/>
        <v>0.1</v>
      </c>
      <c r="AP5" s="115">
        <f t="shared" si="4"/>
        <v>0.1</v>
      </c>
      <c r="AQ5" s="115">
        <f t="shared" si="4"/>
        <v>0.1</v>
      </c>
      <c r="AR5" s="115">
        <f t="shared" si="4"/>
        <v>0.1</v>
      </c>
      <c r="AS5" s="115"/>
      <c r="AT5" s="115"/>
      <c r="AU5" s="115"/>
      <c r="AV5" s="115"/>
      <c r="AW5" s="115"/>
      <c r="AX5" s="115"/>
    </row>
    <row r="6" spans="1:60" x14ac:dyDescent="0.25">
      <c r="B6" s="116" t="s">
        <v>292</v>
      </c>
      <c r="C6" s="117"/>
      <c r="D6" s="118"/>
      <c r="E6" s="117"/>
      <c r="F6" s="117"/>
      <c r="G6" s="117"/>
      <c r="H6" s="118"/>
      <c r="I6" s="117"/>
      <c r="J6" s="117"/>
      <c r="K6" s="117"/>
      <c r="L6" s="118"/>
      <c r="M6" s="117"/>
      <c r="O6" s="119"/>
      <c r="P6" s="119"/>
      <c r="Q6" s="119"/>
      <c r="R6" s="120"/>
      <c r="S6" s="120"/>
      <c r="T6" s="120"/>
      <c r="U6" s="152"/>
      <c r="V6" s="152"/>
      <c r="W6" s="152"/>
      <c r="X6" s="152"/>
      <c r="Y6" s="152"/>
      <c r="Z6" s="152"/>
      <c r="AA6" s="121"/>
      <c r="AB6" s="121"/>
      <c r="AC6" s="121"/>
      <c r="AD6" s="121"/>
      <c r="AE6" s="121"/>
      <c r="AF6" s="121"/>
      <c r="AG6" s="153"/>
      <c r="AH6" s="153"/>
      <c r="AI6" s="153"/>
      <c r="AJ6" s="153"/>
      <c r="AK6" s="153"/>
      <c r="AL6" s="153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Z6" s="122"/>
    </row>
    <row r="7" spans="1:60" x14ac:dyDescent="0.25">
      <c r="A7" s="185" t="s">
        <v>22</v>
      </c>
      <c r="B7" s="88" t="s">
        <v>23</v>
      </c>
      <c r="C7" s="164">
        <f ca="1">SUM(O7:Z7)</f>
        <v>3556511</v>
      </c>
      <c r="D7" s="165">
        <f>SUM(AA7:AL7)</f>
        <v>19516321.910371594</v>
      </c>
      <c r="E7" s="164">
        <f ca="1">SUM(AM7:AX7)+BG7</f>
        <v>214163791.27000001</v>
      </c>
      <c r="F7" s="123"/>
      <c r="G7" s="123">
        <f ca="1">O7+W7+X7+Y7+Z7</f>
        <v>1483564</v>
      </c>
      <c r="H7" s="124">
        <f>AA7+AI7+AJ7+AK7+AL7</f>
        <v>5037716.6657065824</v>
      </c>
      <c r="I7" s="123">
        <f ca="1">AM7+AU7+AV7+AW7+AX7</f>
        <v>70816916.909999996</v>
      </c>
      <c r="J7" s="123"/>
      <c r="K7" s="123">
        <f ca="1">SUM(P7:V7)</f>
        <v>2072947</v>
      </c>
      <c r="L7" s="124">
        <f>SUM(AB7:AH7)</f>
        <v>14478605.244665015</v>
      </c>
      <c r="M7" s="123">
        <f ca="1">SUM(AN7:AT7)</f>
        <v>143346874.36000001</v>
      </c>
      <c r="O7" s="132">
        <f ca="1">SUMIFS('Jul17-Jun18 Retail'!$H$7:$H$94,'Jul17-Jun18 Retail'!$D$7:$D$94,SBR!O$4,'Jul17-Jun18 Retail'!$E$7:$E$94,SBR!$A7)+SUMIFS('Jul17-Jun18 Retail'!$AG$7:$AG$94,'Jul17-Jun18 Retail'!$E$7:$E$94,SBR!$A7,'Jul17-Jun18 Retail'!$D$7:$D$94,SBR!O$4)</f>
        <v>295585</v>
      </c>
      <c r="P7" s="132">
        <f ca="1">SUMIFS('Jul17-Jun18 Retail'!$H$7:$H$89,'Jul17-Jun18 Retail'!$D$7:$D$89,SBR!P$4,'Jul17-Jun18 Retail'!$E$7:$E$89,SBR!$A7)+SUMIFS('Jul17-Jun18 Retail'!$AG$7:$AG$89,'Jul17-Jun18 Retail'!$E$7:$E$89,SBR!$A7,'Jul17-Jun18 Retail'!$D$7:$D$89,SBR!P$4)</f>
        <v>295508</v>
      </c>
      <c r="Q7" s="132">
        <f ca="1">SUMIFS('Jul17-Jun18 Retail'!$H$7:$H$94,'Jul17-Jun18 Retail'!$D$7:$D$94,SBR!Q$4,'Jul17-Jun18 Retail'!$E$7:$E$94,SBR!$A7)+SUMIFS('Jul17-Jun18 Retail'!$AG$7:$AG$94,'Jul17-Jun18 Retail'!$E$7:$E$94,SBR!$A7,'Jul17-Jun18 Retail'!$D$7:$D$94,SBR!Q$4)</f>
        <v>295117</v>
      </c>
      <c r="R7" s="132">
        <f ca="1">SUMIFS('Jul17-Jun18 Retail'!$H$7:$H$94,'Jul17-Jun18 Retail'!$D$7:$D$94,SBR!R$4,'Jul17-Jun18 Retail'!$E$7:$E$94,SBR!$A7)+SUMIFS('Jul17-Jun18 Retail'!$AG$7:$AG$94,'Jul17-Jun18 Retail'!$E$7:$E$94,SBR!$A7,'Jul17-Jun18 Retail'!$D$7:$D$94,SBR!R$4)</f>
        <v>295420</v>
      </c>
      <c r="S7" s="132">
        <f ca="1">SUMIFS('Jul17-Jun18 Retail'!$H$7:$H$94,'Jul17-Jun18 Retail'!$D$7:$D$94,SBR!S$4,'Jul17-Jun18 Retail'!$E$7:$E$94,SBR!$A7)+SUMIFS('Jul17-Jun18 Retail'!$AG$7:$AG$94,'Jul17-Jun18 Retail'!$E$7:$E$94,SBR!$A7,'Jul17-Jun18 Retail'!$D$7:$D$94,SBR!S$4)</f>
        <v>295562</v>
      </c>
      <c r="T7" s="132">
        <f ca="1">SUMIFS('Jul17-Jun18 Retail'!$H$7:$H$94,'Jul17-Jun18 Retail'!$D$7:$D$94,SBR!T$4,'Jul17-Jun18 Retail'!$E$7:$E$94,SBR!$A7)+SUMIFS('Jul17-Jun18 Retail'!$AG$7:$AG$94,'Jul17-Jun18 Retail'!$E$7:$E$94,SBR!$A7,'Jul17-Jun18 Retail'!$D$7:$D$94,SBR!T$4)</f>
        <v>296650</v>
      </c>
      <c r="U7" s="132">
        <f ca="1">SUMIFS('Jul17-Jun18 Retail'!$H$7:$H$94,'Jul17-Jun18 Retail'!$D$7:$D$94,SBR!U$4,'Jul17-Jun18 Retail'!$E$7:$E$94,SBR!$A7)+SUMIFS('Jul17-Jun18 Retail'!$AG$7:$AG$94,'Jul17-Jun18 Retail'!$E$7:$E$94,SBR!$A7,'Jul17-Jun18 Retail'!$D$7:$D$94,SBR!U$4)</f>
        <v>297218</v>
      </c>
      <c r="V7" s="132">
        <f ca="1">SUMIFS('Jul17-Jun18 Retail'!$H$7:$H$94,'Jul17-Jun18 Retail'!$D$7:$D$94,SBR!V$4,'Jul17-Jun18 Retail'!$E$7:$E$94,SBR!$A7)+SUMIFS('Jul17-Jun18 Retail'!$AG$7:$AG$94,'Jul17-Jun18 Retail'!$E$7:$E$94,SBR!$A7,'Jul17-Jun18 Retail'!$D$7:$D$94,SBR!V$4)</f>
        <v>297472</v>
      </c>
      <c r="W7" s="132">
        <f ca="1">SUMIFS('Jul17-Jun18 Retail'!$H$7:$H$94,'Jul17-Jun18 Retail'!$D$7:$D$94,SBR!W$4,'Jul17-Jun18 Retail'!$E$7:$E$94,SBR!$A7)+SUMIFS('Jul17-Jun18 Retail'!$AG$7:$AG$94,'Jul17-Jun18 Retail'!$E$7:$E$94,SBR!$A7,'Jul17-Jun18 Retail'!$D$7:$D$94,SBR!W$4)</f>
        <v>297745</v>
      </c>
      <c r="X7" s="132">
        <f ca="1">SUMIFS('Jul17-Jun18 Retail'!$H$7:$H$94,'Jul17-Jun18 Retail'!$D$7:$D$94,SBR!X$4,'Jul17-Jun18 Retail'!$E$7:$E$94,SBR!$A7)+SUMIFS('Jul17-Jun18 Retail'!$AG$7:$AG$94,'Jul17-Jun18 Retail'!$E$7:$E$94,SBR!$A7,'Jul17-Jun18 Retail'!$D$7:$D$94,SBR!X$4)</f>
        <v>297132</v>
      </c>
      <c r="Y7" s="132">
        <f ca="1">SUMIFS('Jul17-Jun18 Retail'!$H$7:$H$94,'Jul17-Jun18 Retail'!$D$7:$D$94,SBR!Y$4,'Jul17-Jun18 Retail'!$E$7:$E$94,SBR!$A7)+SUMIFS('Jul17-Jun18 Retail'!$AG$7:$AG$94,'Jul17-Jun18 Retail'!$E$7:$E$94,SBR!$A7,'Jul17-Jun18 Retail'!$D$7:$D$94,SBR!Y$4)</f>
        <v>296589</v>
      </c>
      <c r="Z7" s="132">
        <f ca="1">SUMIFS('Jul17-Jun18 Retail'!$H$7:$H$94,'Jul17-Jun18 Retail'!$D$7:$D$94,SBR!Z$4,'Jul17-Jun18 Retail'!$E$7:$E$94,SBR!$A7)+SUMIFS('Jul17-Jun18 Retail'!$AG$7:$AG$94,'Jul17-Jun18 Retail'!$E$7:$E$94,SBR!$A7,'Jul17-Jun18 Retail'!$D$7:$D$94,SBR!Z$4)</f>
        <v>296513</v>
      </c>
      <c r="AA7" s="133">
        <f>(SUMIFS('Jul17-Jun18 Retail'!$K$5:$K$173,'Jul17-Jun18 Retail'!$D$5:$D$173,SBR!AA$4,'Jul17-Jun18 Retail'!$E$5:$E$173,SBR!$A7)+SUMIFS('Jul17-Jun18 Retail'!$L$5:$L$173,'Jul17-Jun18 Retail'!$D$5:$D$173,SBR!AA$4,'Jul17-Jun18 Retail'!$E$5:$E$173,SBR!$A7))*0.1</f>
        <v>331379.92126692669</v>
      </c>
      <c r="AB7" s="133">
        <f>(SUMIFS('Jul17-Jun18 Retail'!$K$5:$K$173,'Jul17-Jun18 Retail'!$D$5:$D$173,SBR!AB$4,'Jul17-Jun18 Retail'!$E$5:$E$173,SBR!$A7)+SUMIFS('Jul17-Jun18 Retail'!$L$5:$L$173,'Jul17-Jun18 Retail'!$D$5:$D$173,SBR!AB$4,'Jul17-Jun18 Retail'!$E$5:$E$173,SBR!$A7))*0.1</f>
        <v>325572.80696375971</v>
      </c>
      <c r="AC7" s="133">
        <f>(SUMIFS('Jul17-Jun18 Retail'!$K$5:$K$173,'Jul17-Jun18 Retail'!$D$5:$D$173,SBR!AC$4,'Jul17-Jun18 Retail'!$E$5:$E$173,SBR!$A7)+SUMIFS('Jul17-Jun18 Retail'!$L$5:$L$173,'Jul17-Jun18 Retail'!$D$5:$D$173,SBR!AC$4,'Jul17-Jun18 Retail'!$E$5:$E$173,SBR!$A7))*0.1</f>
        <v>357906.511656238</v>
      </c>
      <c r="AD7" s="133">
        <f>(SUMIFS('Jul17-Jun18 Retail'!$K$5:$K$173,'Jul17-Jun18 Retail'!$D$5:$D$173,SBR!AD$4,'Jul17-Jun18 Retail'!$E$5:$E$173,SBR!$A7)+SUMIFS('Jul17-Jun18 Retail'!$L$5:$L$173,'Jul17-Jun18 Retail'!$D$5:$D$173,SBR!AD$4,'Jul17-Jun18 Retail'!$E$5:$E$173,SBR!$A7))*0.1</f>
        <v>699066.75763024844</v>
      </c>
      <c r="AE7" s="133">
        <f>(SUMIFS('Jul17-Jun18 Retail'!$K$5:$K$173,'Jul17-Jun18 Retail'!$D$5:$D$173,SBR!AE$4,'Jul17-Jun18 Retail'!$E$5:$E$173,SBR!$A7)+SUMIFS('Jul17-Jun18 Retail'!$L$5:$L$173,'Jul17-Jun18 Retail'!$D$5:$D$173,SBR!AE$4,'Jul17-Jun18 Retail'!$E$5:$E$173,SBR!$A7))*0.1</f>
        <v>1819908.0548454397</v>
      </c>
      <c r="AF7" s="133">
        <f>(SUMIFS('Jul17-Jun18 Retail'!$K$5:$K$173,'Jul17-Jun18 Retail'!$D$5:$D$173,SBR!AF$4,'Jul17-Jun18 Retail'!$E$5:$E$173,SBR!$A7)+SUMIFS('Jul17-Jun18 Retail'!$L$5:$L$173,'Jul17-Jun18 Retail'!$D$5:$D$173,SBR!AF$4,'Jul17-Jun18 Retail'!$E$5:$E$173,SBR!$A7))*0.1</f>
        <v>3383204.8675337806</v>
      </c>
      <c r="AG7" s="133">
        <f>(SUMIFS('Jul17-Jun18 Retail'!$K$5:$K$173,'Jul17-Jun18 Retail'!$D$5:$D$173,SBR!AG$4,'Jul17-Jun18 Retail'!$E$5:$E$173,SBR!$A7)+SUMIFS('Jul17-Jun18 Retail'!$L$5:$L$173,'Jul17-Jun18 Retail'!$D$5:$D$173,SBR!AG$4,'Jul17-Jun18 Retail'!$E$5:$E$173,SBR!$A7))*0.1</f>
        <v>4272129.1869554678</v>
      </c>
      <c r="AH7" s="133">
        <f>(SUMIFS('Jul17-Jun18 Retail'!$K$5:$K$173,'Jul17-Jun18 Retail'!$D$5:$D$173,SBR!AH$4,'Jul17-Jun18 Retail'!$E$5:$E$173,SBR!$A7)+SUMIFS('Jul17-Jun18 Retail'!$L$5:$L$173,'Jul17-Jun18 Retail'!$D$5:$D$173,SBR!AH$4,'Jul17-Jun18 Retail'!$E$5:$E$173,SBR!$A7))*0.1</f>
        <v>3620817.0590800801</v>
      </c>
      <c r="AI7" s="133">
        <f>(SUMIFS('Jul17-Jun18 Retail'!$K$5:$K$173,'Jul17-Jun18 Retail'!$D$5:$D$173,SBR!AI$4,'Jul17-Jun18 Retail'!$E$5:$E$173,SBR!$A7)+SUMIFS('Jul17-Jun18 Retail'!$L$5:$L$173,'Jul17-Jun18 Retail'!$D$5:$D$173,SBR!AI$4,'Jul17-Jun18 Retail'!$E$5:$E$173,SBR!$A7))*0.1</f>
        <v>2542353.722491404</v>
      </c>
      <c r="AJ7" s="133">
        <f>(SUMIFS('Jul17-Jun18 Retail'!$K$5:$K$173,'Jul17-Jun18 Retail'!$D$5:$D$173,SBR!AJ$4,'Jul17-Jun18 Retail'!$E$5:$E$173,SBR!$A7)+SUMIFS('Jul17-Jun18 Retail'!$L$5:$L$173,'Jul17-Jun18 Retail'!$D$5:$D$173,SBR!AJ$4,'Jul17-Jun18 Retail'!$E$5:$E$173,SBR!$A7))*0.1</f>
        <v>1126273.5954044515</v>
      </c>
      <c r="AK7" s="133">
        <f>(SUMIFS('Jul17-Jun18 Retail'!$K$5:$K$173,'Jul17-Jun18 Retail'!$D$5:$D$173,SBR!AK$4,'Jul17-Jun18 Retail'!$E$5:$E$173,SBR!$A7)+SUMIFS('Jul17-Jun18 Retail'!$L$5:$L$173,'Jul17-Jun18 Retail'!$D$5:$D$173,SBR!AK$4,'Jul17-Jun18 Retail'!$E$5:$E$173,SBR!$A7))*0.1</f>
        <v>653514.63454635767</v>
      </c>
      <c r="AL7" s="133">
        <f>(SUMIFS('Jul17-Jun18 Retail'!$K$5:$K$173,'Jul17-Jun18 Retail'!$D$5:$D$173,SBR!AL$4,'Jul17-Jun18 Retail'!$E$5:$E$173,SBR!$A7)+SUMIFS('Jul17-Jun18 Retail'!$L$5:$L$173,'Jul17-Jun18 Retail'!$D$5:$D$173,SBR!AL$4,'Jul17-Jun18 Retail'!$E$5:$E$173,SBR!$A7))*0.1</f>
        <v>384194.79199744179</v>
      </c>
      <c r="AM7" s="134">
        <f ca="1">SUMIFS('Jul17-Jun18 Retail'!$AZ$5:$AZ$90,'Jul17-Jun18 Retail'!$D$5:$D$90,SBR!AM$4,'Jul17-Jun18 Retail'!$E$5:$E$90,SBR!$A7)</f>
        <v>8015184.7599999998</v>
      </c>
      <c r="AN7" s="134">
        <f ca="1">SUMIFS('Jul17-Jun18 Retail'!$AZ$5:$AZ$90,'Jul17-Jun18 Retail'!$D$5:$D$90,SBR!AN$4,'Jul17-Jun18 Retail'!$E$5:$E$90,SBR!$A7)</f>
        <v>7876085.5199999996</v>
      </c>
      <c r="AO7" s="134">
        <f ca="1">SUMIFS('Jul17-Jun18 Retail'!$AZ$5:$AZ$90,'Jul17-Jun18 Retail'!$D$5:$D$90,SBR!AO$4,'Jul17-Jun18 Retail'!$E$5:$E$90,SBR!$A7)</f>
        <v>8160667.9900000002</v>
      </c>
      <c r="AP7" s="134">
        <f ca="1">SUMIFS('Jul17-Jun18 Retail'!$AZ$5:$AZ$90,'Jul17-Jun18 Retail'!$D$5:$D$90,SBR!AP$4,'Jul17-Jun18 Retail'!$E$5:$E$90,SBR!$A7)</f>
        <v>9867623.6500000004</v>
      </c>
      <c r="AQ7" s="134">
        <f ca="1">SUMIFS('Jul17-Jun18 Retail'!$AZ$5:$AZ$90,'Jul17-Jun18 Retail'!$D$5:$D$90,SBR!AQ$4,'Jul17-Jun18 Retail'!$E$5:$E$90,SBR!$A7)</f>
        <v>17907148.899999999</v>
      </c>
      <c r="AR7" s="134">
        <f ca="1">SUMIFS('Jul17-Jun18 Retail'!$AZ$5:$AZ$90,'Jul17-Jun18 Retail'!$D$5:$D$90,SBR!AR$4,'Jul17-Jun18 Retail'!$E$5:$E$90,SBR!$A7)</f>
        <v>29029482.68</v>
      </c>
      <c r="AS7" s="134">
        <f ca="1">SUMIFS('Jul17-Jun18 Retail'!$AZ$5:$AZ$90,'Jul17-Jun18 Retail'!$D$5:$D$90,SBR!AS$4,'Jul17-Jun18 Retail'!$E$5:$E$90,SBR!$A7)</f>
        <v>36960393.299999997</v>
      </c>
      <c r="AT7" s="134">
        <f ca="1">SUMIFS('Jul17-Jun18 Retail'!$AZ$5:$AZ$90,'Jul17-Jun18 Retail'!$D$5:$D$90,SBR!AT$4,'Jul17-Jun18 Retail'!$E$5:$E$90,SBR!$A7)</f>
        <v>33545472.32</v>
      </c>
      <c r="AU7" s="134">
        <f ca="1">SUMIFS('Jul17-Jun18 Retail'!$AZ$5:$AZ$90,'Jul17-Jun18 Retail'!$D$5:$D$90,SBR!AU$4,'Jul17-Jun18 Retail'!$E$5:$E$90,SBR!$A7)</f>
        <v>26877557.859999999</v>
      </c>
      <c r="AV7" s="134">
        <f ca="1">SUMIFS('Jul17-Jun18 Retail'!$AZ$5:$AZ$90,'Jul17-Jun18 Retail'!$D$5:$D$90,SBR!AV$4,'Jul17-Jun18 Retail'!$E$5:$E$90,SBR!$A7)</f>
        <v>15606255.51</v>
      </c>
      <c r="AW7" s="134">
        <f ca="1">SUMIFS('Jul17-Jun18 Retail'!$AZ$5:$AZ$90,'Jul17-Jun18 Retail'!$D$5:$D$90,SBR!AW$4,'Jul17-Jun18 Retail'!$E$5:$E$90,SBR!$A7)</f>
        <v>11465973.83</v>
      </c>
      <c r="AX7" s="134">
        <f ca="1">SUMIFS('Jul17-Jun18 Retail'!$AZ$5:$AZ$90,'Jul17-Jun18 Retail'!$D$5:$D$90,SBR!AX$4,'Jul17-Jun18 Retail'!$E$5:$E$90,SBR!$A7)</f>
        <v>8851944.9499999993</v>
      </c>
      <c r="AY7" s="128"/>
      <c r="AZ7" s="128"/>
    </row>
    <row r="8" spans="1:60" x14ac:dyDescent="0.25">
      <c r="B8" s="135" t="s">
        <v>293</v>
      </c>
      <c r="C8" s="151">
        <f ca="1">SUM(O8:Z8)</f>
        <v>3556511</v>
      </c>
      <c r="D8" s="162">
        <f>SUM(AA8:AL8)</f>
        <v>19516321.910371594</v>
      </c>
      <c r="E8" s="151">
        <f t="shared" ref="E8:E19" ca="1" si="5">SUM(AM8:AX8)+BG8</f>
        <v>214163791.27000001</v>
      </c>
      <c r="F8" s="123"/>
      <c r="G8" s="123">
        <f ca="1">O8+W8+X8+Y8+Z8</f>
        <v>1483564</v>
      </c>
      <c r="H8" s="124">
        <f>AA8+AI8+AJ8+AK8+AL8</f>
        <v>5037716.6657065824</v>
      </c>
      <c r="I8" s="123">
        <f t="shared" ref="I8:I19" ca="1" si="6">AM8+AU8+AV8+AW8+AX8</f>
        <v>70816916.909999996</v>
      </c>
      <c r="J8" s="123"/>
      <c r="K8" s="123">
        <f t="shared" ref="K8:K19" ca="1" si="7">SUM(P8:V8)</f>
        <v>2072947</v>
      </c>
      <c r="L8" s="124">
        <f t="shared" ref="L8:L19" si="8">SUM(AB8:AH8)</f>
        <v>14478605.244665015</v>
      </c>
      <c r="M8" s="123">
        <f t="shared" ref="M8:M19" ca="1" si="9">SUM(AN8:AT8)</f>
        <v>143346874.36000001</v>
      </c>
      <c r="O8" s="136">
        <f t="shared" ref="O8:AX8" ca="1" si="10">SUM(O7:O7)</f>
        <v>295585</v>
      </c>
      <c r="P8" s="136">
        <f t="shared" ca="1" si="10"/>
        <v>295508</v>
      </c>
      <c r="Q8" s="136">
        <f t="shared" ca="1" si="10"/>
        <v>295117</v>
      </c>
      <c r="R8" s="136">
        <f t="shared" ca="1" si="10"/>
        <v>295420</v>
      </c>
      <c r="S8" s="136">
        <f t="shared" ca="1" si="10"/>
        <v>295562</v>
      </c>
      <c r="T8" s="136">
        <f t="shared" ca="1" si="10"/>
        <v>296650</v>
      </c>
      <c r="U8" s="136">
        <f t="shared" ca="1" si="10"/>
        <v>297218</v>
      </c>
      <c r="V8" s="136">
        <f t="shared" ca="1" si="10"/>
        <v>297472</v>
      </c>
      <c r="W8" s="136">
        <f t="shared" ca="1" si="10"/>
        <v>297745</v>
      </c>
      <c r="X8" s="136">
        <f t="shared" ca="1" si="10"/>
        <v>297132</v>
      </c>
      <c r="Y8" s="136">
        <f t="shared" ca="1" si="10"/>
        <v>296589</v>
      </c>
      <c r="Z8" s="136">
        <f t="shared" ca="1" si="10"/>
        <v>296513</v>
      </c>
      <c r="AA8" s="121">
        <f t="shared" si="10"/>
        <v>331379.92126692669</v>
      </c>
      <c r="AB8" s="121">
        <f t="shared" si="10"/>
        <v>325572.80696375971</v>
      </c>
      <c r="AC8" s="121">
        <f t="shared" si="10"/>
        <v>357906.511656238</v>
      </c>
      <c r="AD8" s="121">
        <f t="shared" si="10"/>
        <v>699066.75763024844</v>
      </c>
      <c r="AE8" s="121">
        <f t="shared" si="10"/>
        <v>1819908.0548454397</v>
      </c>
      <c r="AF8" s="121">
        <f t="shared" si="10"/>
        <v>3383204.8675337806</v>
      </c>
      <c r="AG8" s="121">
        <f t="shared" si="10"/>
        <v>4272129.1869554678</v>
      </c>
      <c r="AH8" s="121">
        <f t="shared" si="10"/>
        <v>3620817.0590800801</v>
      </c>
      <c r="AI8" s="121">
        <f t="shared" si="10"/>
        <v>2542353.722491404</v>
      </c>
      <c r="AJ8" s="121">
        <f t="shared" si="10"/>
        <v>1126273.5954044515</v>
      </c>
      <c r="AK8" s="121">
        <f t="shared" si="10"/>
        <v>653514.63454635767</v>
      </c>
      <c r="AL8" s="121">
        <f t="shared" si="10"/>
        <v>384194.79199744179</v>
      </c>
      <c r="AM8" s="137">
        <f t="shared" ca="1" si="10"/>
        <v>8015184.7599999998</v>
      </c>
      <c r="AN8" s="137">
        <f t="shared" ca="1" si="10"/>
        <v>7876085.5199999996</v>
      </c>
      <c r="AO8" s="137">
        <f t="shared" ca="1" si="10"/>
        <v>8160667.9900000002</v>
      </c>
      <c r="AP8" s="137">
        <f t="shared" ca="1" si="10"/>
        <v>9867623.6500000004</v>
      </c>
      <c r="AQ8" s="137">
        <f t="shared" ca="1" si="10"/>
        <v>17907148.899999999</v>
      </c>
      <c r="AR8" s="137">
        <f t="shared" ca="1" si="10"/>
        <v>29029482.68</v>
      </c>
      <c r="AS8" s="137">
        <f t="shared" ca="1" si="10"/>
        <v>36960393.299999997</v>
      </c>
      <c r="AT8" s="137">
        <f t="shared" ca="1" si="10"/>
        <v>33545472.32</v>
      </c>
      <c r="AU8" s="137">
        <f t="shared" ca="1" si="10"/>
        <v>26877557.859999999</v>
      </c>
      <c r="AV8" s="137">
        <f t="shared" ca="1" si="10"/>
        <v>15606255.51</v>
      </c>
      <c r="AW8" s="137">
        <f t="shared" ca="1" si="10"/>
        <v>11465973.83</v>
      </c>
      <c r="AX8" s="137">
        <f t="shared" ca="1" si="10"/>
        <v>8851944.9499999993</v>
      </c>
      <c r="AY8" s="128"/>
      <c r="AZ8" s="128"/>
    </row>
    <row r="9" spans="1:60" x14ac:dyDescent="0.25">
      <c r="B9" s="138"/>
      <c r="C9" s="169"/>
      <c r="D9" s="385"/>
      <c r="E9" s="169"/>
      <c r="F9" s="139"/>
      <c r="G9" s="139"/>
      <c r="H9" s="140"/>
      <c r="I9" s="139"/>
      <c r="J9" s="139"/>
      <c r="K9" s="139"/>
      <c r="L9" s="140"/>
      <c r="M9" s="139"/>
      <c r="O9" s="141"/>
      <c r="P9" s="141"/>
      <c r="Q9" s="141"/>
      <c r="R9" s="141"/>
      <c r="S9" s="141"/>
      <c r="T9" s="141"/>
      <c r="U9" s="152"/>
      <c r="V9" s="152"/>
      <c r="W9" s="152"/>
      <c r="X9" s="152"/>
      <c r="Y9" s="152"/>
      <c r="Z9" s="152"/>
      <c r="AA9" s="142"/>
      <c r="AB9" s="142"/>
      <c r="AC9" s="142"/>
      <c r="AD9" s="142"/>
      <c r="AE9" s="142"/>
      <c r="AF9" s="142"/>
      <c r="AG9" s="153"/>
      <c r="AH9" s="153"/>
      <c r="AI9" s="153"/>
      <c r="AJ9" s="153"/>
      <c r="AK9" s="153"/>
      <c r="AL9" s="153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28"/>
      <c r="AZ9" s="128"/>
    </row>
    <row r="10" spans="1:60" x14ac:dyDescent="0.25">
      <c r="A10" s="88" t="s">
        <v>13</v>
      </c>
      <c r="B10" s="88" t="s">
        <v>14</v>
      </c>
      <c r="C10" s="151">
        <f t="shared" ref="C10:C12" ca="1" si="11">SUM(O10:Z10)</f>
        <v>299360</v>
      </c>
      <c r="D10" s="162">
        <f t="shared" ref="D10:D19" si="12">SUM(AA10:AL10)</f>
        <v>10137905.826085171</v>
      </c>
      <c r="E10" s="151">
        <f t="shared" ca="1" si="5"/>
        <v>90246980.739999995</v>
      </c>
      <c r="F10" s="123"/>
      <c r="G10" s="123">
        <f ca="1">O10+W10+X10+Y10+Z10</f>
        <v>124635</v>
      </c>
      <c r="H10" s="124">
        <f t="shared" ref="H10:H19" si="13">AA10+AI10+AJ10+AK10+AL10</f>
        <v>2832637.7465928709</v>
      </c>
      <c r="I10" s="123">
        <f t="shared" ca="1" si="6"/>
        <v>30648435.369999997</v>
      </c>
      <c r="J10" s="123"/>
      <c r="K10" s="123">
        <f t="shared" ca="1" si="7"/>
        <v>174725</v>
      </c>
      <c r="L10" s="124">
        <f t="shared" si="8"/>
        <v>7305268.079492298</v>
      </c>
      <c r="M10" s="123">
        <f t="shared" ca="1" si="9"/>
        <v>59598545.36999999</v>
      </c>
      <c r="O10" s="125">
        <f ca="1">SUMIFS('Jul17-Jun18 Retail'!$I$5:$I$89,'Jul17-Jun18 Retail'!$D$5:$D$89,SBR!O$4,'Jul17-Jun18 Retail'!$E$5:$E$89,SBR!$A10)+SUMIFS('Jul17-Jun18 Retail'!$J$5:$J$89,'Jul17-Jun18 Retail'!$D$5:$D$89,SBR!O$4,'Jul17-Jun18 Retail'!$E$5:$E$89,SBR!$A10)+SUMIFS('Jul17-Jun18 Retail'!$AG$5:$AG$89,'Jul17-Jun18 Retail'!$D$5:$D$89,SBR!O$4,'Jul17-Jun18 Retail'!$E$5:$E$89,SBR!$A10)+SUMIFS('Jul17-Jun18 Retail'!$AH$5:$AH$89,'Jul17-Jun18 Retail'!$D$5:$D$89,SBR!O$4,'Jul17-Jun18 Retail'!$E$5:$E$89,SBR!$A10)</f>
        <v>24665</v>
      </c>
      <c r="P10" s="125">
        <f ca="1">SUMIFS('Jul17-Jun18 Retail'!$I$5:$I$89,'Jul17-Jun18 Retail'!$D$5:$D$89,SBR!P$4,'Jul17-Jun18 Retail'!$E$5:$E$89,SBR!$A10)+SUMIFS('Jul17-Jun18 Retail'!$J$5:$J$89,'Jul17-Jun18 Retail'!$D$5:$D$89,SBR!P$4,'Jul17-Jun18 Retail'!$E$5:$E$89,SBR!$A10)+SUMIFS('Jul17-Jun18 Retail'!$AG$5:$AG$89,'Jul17-Jun18 Retail'!$D$5:$D$89,SBR!P$4,'Jul17-Jun18 Retail'!$E$5:$E$89,SBR!$A10)+SUMIFS('Jul17-Jun18 Retail'!$AH$5:$AH$89,'Jul17-Jun18 Retail'!$D$5:$D$89,SBR!P$4,'Jul17-Jun18 Retail'!$E$5:$E$89,SBR!$A10)</f>
        <v>24681</v>
      </c>
      <c r="Q10" s="125">
        <f ca="1">SUMIFS('Jul17-Jun18 Retail'!$I$5:$I$89,'Jul17-Jun18 Retail'!$D$5:$D$89,SBR!Q$4,'Jul17-Jun18 Retail'!$E$5:$E$89,SBR!$A10)+SUMIFS('Jul17-Jun18 Retail'!$J$5:$J$89,'Jul17-Jun18 Retail'!$D$5:$D$89,SBR!Q$4,'Jul17-Jun18 Retail'!$E$5:$E$89,SBR!$A10)+SUMIFS('Jul17-Jun18 Retail'!$AG$5:$AG$89,'Jul17-Jun18 Retail'!$D$5:$D$89,SBR!Q$4,'Jul17-Jun18 Retail'!$E$5:$E$89,SBR!$A10)+SUMIFS('Jul17-Jun18 Retail'!$AH$5:$AH$89,'Jul17-Jun18 Retail'!$D$5:$D$89,SBR!Q$4,'Jul17-Jun18 Retail'!$E$5:$E$89,SBR!$A10)</f>
        <v>24691</v>
      </c>
      <c r="R10" s="125">
        <f ca="1">SUMIFS('Jul17-Jun18 Retail'!$I$5:$I$89,'Jul17-Jun18 Retail'!$D$5:$D$89,SBR!R$4,'Jul17-Jun18 Retail'!$E$5:$E$89,SBR!$A10)+SUMIFS('Jul17-Jun18 Retail'!$J$5:$J$89,'Jul17-Jun18 Retail'!$D$5:$D$89,SBR!R$4,'Jul17-Jun18 Retail'!$E$5:$E$89,SBR!$A10)+SUMIFS('Jul17-Jun18 Retail'!$AG$5:$AG$89,'Jul17-Jun18 Retail'!$D$5:$D$89,SBR!R$4,'Jul17-Jun18 Retail'!$E$5:$E$89,SBR!$A10)+SUMIFS('Jul17-Jun18 Retail'!$AH$5:$AH$89,'Jul17-Jun18 Retail'!$D$5:$D$89,SBR!R$4,'Jul17-Jun18 Retail'!$E$5:$E$89,SBR!$A10)</f>
        <v>24765</v>
      </c>
      <c r="S10" s="125">
        <f ca="1">SUMIFS('Jul17-Jun18 Retail'!$I$5:$I$89,'Jul17-Jun18 Retail'!$D$5:$D$89,SBR!S$4,'Jul17-Jun18 Retail'!$E$5:$E$89,SBR!$A10)+SUMIFS('Jul17-Jun18 Retail'!$J$5:$J$89,'Jul17-Jun18 Retail'!$D$5:$D$89,SBR!S$4,'Jul17-Jun18 Retail'!$E$5:$E$89,SBR!$A10)+SUMIFS('Jul17-Jun18 Retail'!$AG$5:$AG$89,'Jul17-Jun18 Retail'!$D$5:$D$89,SBR!S$4,'Jul17-Jun18 Retail'!$E$5:$E$89,SBR!$A10)+SUMIFS('Jul17-Jun18 Retail'!$AH$5:$AH$89,'Jul17-Jun18 Retail'!$D$5:$D$89,SBR!S$4,'Jul17-Jun18 Retail'!$E$5:$E$89,SBR!$A10)</f>
        <v>24954</v>
      </c>
      <c r="T10" s="125">
        <f ca="1">SUMIFS('Jul17-Jun18 Retail'!$I$5:$I$89,'Jul17-Jun18 Retail'!$D$5:$D$89,SBR!T$4,'Jul17-Jun18 Retail'!$E$5:$E$89,SBR!$A10)+SUMIFS('Jul17-Jun18 Retail'!$J$5:$J$89,'Jul17-Jun18 Retail'!$D$5:$D$89,SBR!T$4,'Jul17-Jun18 Retail'!$E$5:$E$89,SBR!$A10)+SUMIFS('Jul17-Jun18 Retail'!$AG$5:$AG$89,'Jul17-Jun18 Retail'!$D$5:$D$89,SBR!T$4,'Jul17-Jun18 Retail'!$E$5:$E$89,SBR!$A10)+SUMIFS('Jul17-Jun18 Retail'!$AH$5:$AH$89,'Jul17-Jun18 Retail'!$D$5:$D$89,SBR!T$4,'Jul17-Jun18 Retail'!$E$5:$E$89,SBR!$A10)</f>
        <v>25149</v>
      </c>
      <c r="U10" s="125">
        <f ca="1">SUMIFS('Jul17-Jun18 Retail'!$I$5:$I$89,'Jul17-Jun18 Retail'!$D$5:$D$89,SBR!U$4,'Jul17-Jun18 Retail'!$E$5:$E$89,SBR!$A10)+SUMIFS('Jul17-Jun18 Retail'!$J$5:$J$89,'Jul17-Jun18 Retail'!$D$5:$D$89,SBR!U$4,'Jul17-Jun18 Retail'!$E$5:$E$89,SBR!$A10)+SUMIFS('Jul17-Jun18 Retail'!$AG$5:$AG$89,'Jul17-Jun18 Retail'!$D$5:$D$89,SBR!U$4,'Jul17-Jun18 Retail'!$E$5:$E$89,SBR!$A10)+SUMIFS('Jul17-Jun18 Retail'!$AH$5:$AH$89,'Jul17-Jun18 Retail'!$D$5:$D$89,SBR!U$4,'Jul17-Jun18 Retail'!$E$5:$E$89,SBR!$A10)</f>
        <v>25237</v>
      </c>
      <c r="V10" s="125">
        <f ca="1">SUMIFS('Jul17-Jun18 Retail'!$I$5:$I$89,'Jul17-Jun18 Retail'!$D$5:$D$89,SBR!V$4,'Jul17-Jun18 Retail'!$E$5:$E$89,SBR!$A10)+SUMIFS('Jul17-Jun18 Retail'!$J$5:$J$89,'Jul17-Jun18 Retail'!$D$5:$D$89,SBR!V$4,'Jul17-Jun18 Retail'!$E$5:$E$89,SBR!$A10)+SUMIFS('Jul17-Jun18 Retail'!$AG$5:$AG$89,'Jul17-Jun18 Retail'!$D$5:$D$89,SBR!V$4,'Jul17-Jun18 Retail'!$E$5:$E$89,SBR!$A10)+SUMIFS('Jul17-Jun18 Retail'!$AH$5:$AH$89,'Jul17-Jun18 Retail'!$D$5:$D$89,SBR!V$4,'Jul17-Jun18 Retail'!$E$5:$E$89,SBR!$A10)</f>
        <v>25248</v>
      </c>
      <c r="W10" s="125">
        <f ca="1">SUMIFS('Jul17-Jun18 Retail'!$I$5:$I$89,'Jul17-Jun18 Retail'!$D$5:$D$89,SBR!W$4,'Jul17-Jun18 Retail'!$E$5:$E$89,SBR!$A10)+SUMIFS('Jul17-Jun18 Retail'!$J$5:$J$89,'Jul17-Jun18 Retail'!$D$5:$D$89,SBR!W$4,'Jul17-Jun18 Retail'!$E$5:$E$89,SBR!$A10)+SUMIFS('Jul17-Jun18 Retail'!$AG$5:$AG$89,'Jul17-Jun18 Retail'!$D$5:$D$89,SBR!W$4,'Jul17-Jun18 Retail'!$E$5:$E$89,SBR!$A10)+SUMIFS('Jul17-Jun18 Retail'!$AH$5:$AH$89,'Jul17-Jun18 Retail'!$D$5:$D$89,SBR!W$4,'Jul17-Jun18 Retail'!$E$5:$E$89,SBR!$A10)</f>
        <v>25231</v>
      </c>
      <c r="X10" s="125">
        <f ca="1">SUMIFS('Jul17-Jun18 Retail'!$I$5:$I$89,'Jul17-Jun18 Retail'!$D$5:$D$89,SBR!X$4,'Jul17-Jun18 Retail'!$E$5:$E$89,SBR!$A10)+SUMIFS('Jul17-Jun18 Retail'!$J$5:$J$89,'Jul17-Jun18 Retail'!$D$5:$D$89,SBR!X$4,'Jul17-Jun18 Retail'!$E$5:$E$89,SBR!$A10)+SUMIFS('Jul17-Jun18 Retail'!$AG$5:$AG$89,'Jul17-Jun18 Retail'!$D$5:$D$89,SBR!X$4,'Jul17-Jun18 Retail'!$E$5:$E$89,SBR!$A10)+SUMIFS('Jul17-Jun18 Retail'!$AH$5:$AH$89,'Jul17-Jun18 Retail'!$D$5:$D$89,SBR!X$4,'Jul17-Jun18 Retail'!$E$5:$E$89,SBR!$A10)</f>
        <v>25101</v>
      </c>
      <c r="Y10" s="125">
        <f ca="1">SUMIFS('Jul17-Jun18 Retail'!$I$5:$I$89,'Jul17-Jun18 Retail'!$D$5:$D$89,SBR!Y$4,'Jul17-Jun18 Retail'!$E$5:$E$89,SBR!$A10)+SUMIFS('Jul17-Jun18 Retail'!$J$5:$J$89,'Jul17-Jun18 Retail'!$D$5:$D$89,SBR!Y$4,'Jul17-Jun18 Retail'!$E$5:$E$89,SBR!$A10)+SUMIFS('Jul17-Jun18 Retail'!$AG$5:$AG$89,'Jul17-Jun18 Retail'!$D$5:$D$89,SBR!Y$4,'Jul17-Jun18 Retail'!$E$5:$E$89,SBR!$A10)+SUMIFS('Jul17-Jun18 Retail'!$AH$5:$AH$89,'Jul17-Jun18 Retail'!$D$5:$D$89,SBR!Y$4,'Jul17-Jun18 Retail'!$E$5:$E$89,SBR!$A10)</f>
        <v>24903</v>
      </c>
      <c r="Z10" s="125">
        <f ca="1">SUMIFS('Jul17-Jun18 Retail'!$I$5:$I$89,'Jul17-Jun18 Retail'!$D$5:$D$89,SBR!Z$4,'Jul17-Jun18 Retail'!$E$5:$E$89,SBR!$A10)+SUMIFS('Jul17-Jun18 Retail'!$J$5:$J$89,'Jul17-Jun18 Retail'!$D$5:$D$89,SBR!Z$4,'Jul17-Jun18 Retail'!$E$5:$E$89,SBR!$A10)+SUMIFS('Jul17-Jun18 Retail'!$AG$5:$AG$89,'Jul17-Jun18 Retail'!$D$5:$D$89,SBR!Z$4,'Jul17-Jun18 Retail'!$E$5:$E$89,SBR!$A10)+SUMIFS('Jul17-Jun18 Retail'!$AH$5:$AH$89,'Jul17-Jun18 Retail'!$D$5:$D$89,SBR!Z$4,'Jul17-Jun18 Retail'!$E$5:$E$89,SBR!$A10)</f>
        <v>24735</v>
      </c>
      <c r="AA10" s="126">
        <f>(SUMIFS('Jul17-Jun18 Retail'!$K$5:$K$173,'Jul17-Jun18 Retail'!$D$5:$D$173,SBR!AA$4,'Jul17-Jun18 Retail'!$E$5:$E$173,SBR!$A10)+SUMIFS('Jul17-Jun18 Retail'!$L$5:$L$173,'Jul17-Jun18 Retail'!$D$5:$D$173,SBR!AA$4,'Jul17-Jun18 Retail'!$E$5:$E$173,SBR!$A10))*0.1</f>
        <v>274407.83378030173</v>
      </c>
      <c r="AB10" s="126">
        <f>(SUMIFS('Jul17-Jun18 Retail'!$K$5:$K$173,'Jul17-Jun18 Retail'!$D$5:$D$173,SBR!AB$4,'Jul17-Jun18 Retail'!$E$5:$E$173,SBR!$A10)+SUMIFS('Jul17-Jun18 Retail'!$L$5:$L$173,'Jul17-Jun18 Retail'!$D$5:$D$173,SBR!AB$4,'Jul17-Jun18 Retail'!$E$5:$E$173,SBR!$A10))*0.1</f>
        <v>292082.14061164635</v>
      </c>
      <c r="AC10" s="126">
        <f>(SUMIFS('Jul17-Jun18 Retail'!$K$5:$K$173,'Jul17-Jun18 Retail'!$D$5:$D$173,SBR!AC$4,'Jul17-Jun18 Retail'!$E$5:$E$173,SBR!$A10)+SUMIFS('Jul17-Jun18 Retail'!$L$5:$L$173,'Jul17-Jun18 Retail'!$D$5:$D$173,SBR!AC$4,'Jul17-Jun18 Retail'!$E$5:$E$173,SBR!$A10))*0.1</f>
        <v>305289.45140968898</v>
      </c>
      <c r="AD10" s="126">
        <f>(SUMIFS('Jul17-Jun18 Retail'!$K$5:$K$173,'Jul17-Jun18 Retail'!$D$5:$D$173,SBR!AD$4,'Jul17-Jun18 Retail'!$E$5:$E$173,SBR!$A10)+SUMIFS('Jul17-Jun18 Retail'!$L$5:$L$173,'Jul17-Jun18 Retail'!$D$5:$D$173,SBR!AD$4,'Jul17-Jun18 Retail'!$E$5:$E$173,SBR!$A10))*0.1</f>
        <v>475631.65851774602</v>
      </c>
      <c r="AE10" s="126">
        <f>(SUMIFS('Jul17-Jun18 Retail'!$K$5:$K$173,'Jul17-Jun18 Retail'!$D$5:$D$173,SBR!AE$4,'Jul17-Jun18 Retail'!$E$5:$E$173,SBR!$A10)+SUMIFS('Jul17-Jun18 Retail'!$L$5:$L$173,'Jul17-Jun18 Retail'!$D$5:$D$173,SBR!AE$4,'Jul17-Jun18 Retail'!$E$5:$E$173,SBR!$A10))*0.1</f>
        <v>856046.828014008</v>
      </c>
      <c r="AF10" s="126">
        <f>(SUMIFS('Jul17-Jun18 Retail'!$K$5:$K$173,'Jul17-Jun18 Retail'!$D$5:$D$173,SBR!AF$4,'Jul17-Jun18 Retail'!$E$5:$E$173,SBR!$A10)+SUMIFS('Jul17-Jun18 Retail'!$L$5:$L$173,'Jul17-Jun18 Retail'!$D$5:$D$173,SBR!AF$4,'Jul17-Jun18 Retail'!$E$5:$E$173,SBR!$A10))*0.1</f>
        <v>1569540.2038600892</v>
      </c>
      <c r="AG10" s="126">
        <f>(SUMIFS('Jul17-Jun18 Retail'!$K$5:$K$90,'Jul17-Jun18 Retail'!$D$5:$D$90,SBR!AG$4,'Jul17-Jun18 Retail'!$E$5:$E$90,SBR!$A10)+SUMIFS('Jul17-Jun18 Retail'!$L$5:$L$90,'Jul17-Jun18 Retail'!$D$5:$D$90,SBR!AG$4,'Jul17-Jun18 Retail'!$E$5:$E$90,SBR!$A10))*0.1</f>
        <v>2040489.5715611831</v>
      </c>
      <c r="AH10" s="126">
        <f>(SUMIFS('Jul17-Jun18 Retail'!$K$5:$K$90,'Jul17-Jun18 Retail'!$D$5:$D$90,SBR!AH$4,'Jul17-Jun18 Retail'!$E$5:$E$90,SBR!$A10)+SUMIFS('Jul17-Jun18 Retail'!$L$5:$L$90,'Jul17-Jun18 Retail'!$D$5:$D$90,SBR!AH$4,'Jul17-Jun18 Retail'!$E$5:$E$90,SBR!$A10))*0.1</f>
        <v>1766188.2255179358</v>
      </c>
      <c r="AI10" s="126">
        <f>(SUMIFS('Jul17-Jun18 Retail'!$K$5:$K$90,'Jul17-Jun18 Retail'!$D$5:$D$90,SBR!AI$4,'Jul17-Jun18 Retail'!$E$5:$E$90,SBR!$A10)+SUMIFS('Jul17-Jun18 Retail'!$L$5:$L$90,'Jul17-Jun18 Retail'!$D$5:$D$90,SBR!AI$4,'Jul17-Jun18 Retail'!$E$5:$E$90,SBR!$A10))*0.1</f>
        <v>1239345.0482742919</v>
      </c>
      <c r="AJ10" s="126">
        <f>(SUMIFS('Jul17-Jun18 Retail'!$K$5:$K$90,'Jul17-Jun18 Retail'!$D$5:$D$90,SBR!AJ$4,'Jul17-Jun18 Retail'!$E$5:$E$90,SBR!$A10)+SUMIFS('Jul17-Jun18 Retail'!$L$5:$L$90,'Jul17-Jun18 Retail'!$D$5:$D$90,SBR!AJ$4,'Jul17-Jun18 Retail'!$E$5:$E$90,SBR!$A10))*0.1</f>
        <v>644414.29854030965</v>
      </c>
      <c r="AK10" s="126">
        <f>(SUMIFS('Jul17-Jun18 Retail'!$K$5:$K$90,'Jul17-Jun18 Retail'!$D$5:$D$90,SBR!AK$4,'Jul17-Jun18 Retail'!$E$5:$E$90,SBR!$A10)+SUMIFS('Jul17-Jun18 Retail'!$L$5:$L$90,'Jul17-Jun18 Retail'!$D$5:$D$90,SBR!AK$4,'Jul17-Jun18 Retail'!$E$5:$E$90,SBR!$A10))*0.1</f>
        <v>385524.96809185785</v>
      </c>
      <c r="AL10" s="126">
        <f>(SUMIFS('Jul17-Jun18 Retail'!$K$5:$K$90,'Jul17-Jun18 Retail'!$D$5:$D$90,SBR!AL$4,'Jul17-Jun18 Retail'!$E$5:$E$90,SBR!$A10)+SUMIFS('Jul17-Jun18 Retail'!$L$5:$L$90,'Jul17-Jun18 Retail'!$D$5:$D$90,SBR!AL$4,'Jul17-Jun18 Retail'!$E$5:$E$90,SBR!$A10))*0.1</f>
        <v>288945.59790610999</v>
      </c>
      <c r="AM10" s="127">
        <f ca="1">SUMIFS('Jul17-Jun18 Retail'!$AZ$5:$AZ$90,'Jul17-Jun18 Retail'!$D$5:$D$90,SBR!AM$4,'Jul17-Jun18 Retail'!$E$5:$E$90,SBR!$A10)</f>
        <v>3542887.77</v>
      </c>
      <c r="AN10" s="127">
        <f ca="1">SUMIFS('Jul17-Jun18 Retail'!$AZ$5:$AZ$90,'Jul17-Jun18 Retail'!$D$5:$D$90,SBR!AN$4,'Jul17-Jun18 Retail'!$E$5:$E$90,SBR!$A10)</f>
        <v>3547094.78</v>
      </c>
      <c r="AO10" s="127">
        <f ca="1">SUMIFS('Jul17-Jun18 Retail'!$AZ$5:$AZ$90,'Jul17-Jun18 Retail'!$D$5:$D$90,SBR!AO$4,'Jul17-Jun18 Retail'!$E$5:$E$90,SBR!$A10)</f>
        <v>3692675.47</v>
      </c>
      <c r="AP10" s="127">
        <f ca="1">SUMIFS('Jul17-Jun18 Retail'!$AZ$5:$AZ$90,'Jul17-Jun18 Retail'!$D$5:$D$90,SBR!AP$4,'Jul17-Jun18 Retail'!$E$5:$E$90,SBR!$A10)</f>
        <v>4315480.63</v>
      </c>
      <c r="AQ10" s="127">
        <f ca="1">SUMIFS('Jul17-Jun18 Retail'!$AZ$5:$AZ$90,'Jul17-Jun18 Retail'!$D$5:$D$90,SBR!AQ$4,'Jul17-Jun18 Retail'!$E$5:$E$90,SBR!$A10)</f>
        <v>6993149.4199999999</v>
      </c>
      <c r="AR10" s="127">
        <f ca="1">SUMIFS('Jul17-Jun18 Retail'!$AZ$5:$AZ$90,'Jul17-Jun18 Retail'!$D$5:$D$90,SBR!AR$4,'Jul17-Jun18 Retail'!$E$5:$E$90,SBR!$A10)</f>
        <v>11563790.189999999</v>
      </c>
      <c r="AS10" s="127">
        <f ca="1">SUMIFS('Jul17-Jun18 Retail'!$AZ$5:$AZ$90,'Jul17-Jun18 Retail'!$D$5:$D$90,SBR!AS$4,'Jul17-Jun18 Retail'!$E$5:$E$90,SBR!$A10)</f>
        <v>15319806.439999999</v>
      </c>
      <c r="AT10" s="127">
        <f ca="1">SUMIFS('Jul17-Jun18 Retail'!$AZ$5:$AZ$90,'Jul17-Jun18 Retail'!$D$5:$D$90,SBR!AT$4,'Jul17-Jun18 Retail'!$E$5:$E$90,SBR!$A10)</f>
        <v>14166548.439999999</v>
      </c>
      <c r="AU10" s="127">
        <f ca="1">SUMIFS('Jul17-Jun18 Retail'!$AZ$5:$AZ$90,'Jul17-Jun18 Retail'!$D$5:$D$90,SBR!AU$4,'Jul17-Jun18 Retail'!$E$5:$E$90,SBR!$A10)</f>
        <v>11282401.27</v>
      </c>
      <c r="AV10" s="127">
        <f ca="1">SUMIFS('Jul17-Jun18 Retail'!$AZ$5:$AZ$90,'Jul17-Jun18 Retail'!$D$5:$D$90,SBR!AV$4,'Jul17-Jun18 Retail'!$E$5:$E$90,SBR!$A10)</f>
        <v>7011350.8099999996</v>
      </c>
      <c r="AW10" s="127">
        <f ca="1">SUMIFS('Jul17-Jun18 Retail'!$AZ$5:$AZ$90,'Jul17-Jun18 Retail'!$D$5:$D$90,SBR!AW$4,'Jul17-Jun18 Retail'!$E$5:$E$90,SBR!$A10)</f>
        <v>4917776.96</v>
      </c>
      <c r="AX10" s="127">
        <f ca="1">SUMIFS('Jul17-Jun18 Retail'!$AZ$5:$AZ$90,'Jul17-Jun18 Retail'!$D$5:$D$90,SBR!AX$4,'Jul17-Jun18 Retail'!$E$5:$E$90,SBR!$A10)</f>
        <v>3894018.56</v>
      </c>
      <c r="AY10" s="128"/>
      <c r="AZ10" s="128"/>
    </row>
    <row r="11" spans="1:60" x14ac:dyDescent="0.25">
      <c r="A11" s="88" t="s">
        <v>58</v>
      </c>
      <c r="B11" s="88" t="s">
        <v>508</v>
      </c>
      <c r="C11" s="164">
        <f t="shared" ca="1" si="11"/>
        <v>12</v>
      </c>
      <c r="D11" s="165">
        <f t="shared" si="12"/>
        <v>7.1999999999999993</v>
      </c>
      <c r="E11" s="164">
        <f t="shared" ca="1" si="5"/>
        <v>7041.35</v>
      </c>
      <c r="F11" s="123"/>
      <c r="G11" s="123">
        <f t="shared" ref="G11:G19" ca="1" si="14">O11+W11+X11+Y11+Z11</f>
        <v>5</v>
      </c>
      <c r="H11" s="124">
        <f t="shared" si="13"/>
        <v>3.0000000000000004</v>
      </c>
      <c r="I11" s="123">
        <f t="shared" ca="1" si="6"/>
        <v>2935.76</v>
      </c>
      <c r="J11" s="123"/>
      <c r="K11" s="123">
        <f t="shared" ca="1" si="7"/>
        <v>7</v>
      </c>
      <c r="L11" s="124">
        <f t="shared" si="8"/>
        <v>4.2000000000000011</v>
      </c>
      <c r="M11" s="123">
        <f t="shared" ca="1" si="9"/>
        <v>4105.59</v>
      </c>
      <c r="O11" s="132">
        <f ca="1">SUMIFS('Jul17-Jun18 Retail'!$H$5:$H$89,'Jul17-Jun18 Retail'!$D$5:$D$89,SBR!O$4,'Jul17-Jun18 Retail'!$E$5:$E$89,SBR!$A11)+SUMIFS('Jul17-Jun18 Retail'!$J$5:$J$89,'Jul17-Jun18 Retail'!$D$5:$D$89,SBR!O$4,'Jul17-Jun18 Retail'!$E$5:$E$89,SBR!$A11)+SUMIFS('Jul17-Jun18 Retail'!$AG$5:$AG$89,'Jul17-Jun18 Retail'!$D$5:$D$89,SBR!O$4,'Jul17-Jun18 Retail'!$E$5:$E$89,SBR!$A11)+SUMIFS('Jul17-Jun18 Retail'!$AH$5:$AH$89,'Jul17-Jun18 Retail'!$D$5:$D$89,SBR!O$4,'Jul17-Jun18 Retail'!$E$5:$E$89,SBR!$A11)</f>
        <v>1</v>
      </c>
      <c r="P11" s="132">
        <f ca="1">SUMIFS('Jul17-Jun18 Retail'!$H$5:$H$89,'Jul17-Jun18 Retail'!$D$5:$D$89,SBR!P$4,'Jul17-Jun18 Retail'!$E$5:$E$89,SBR!$A11)+SUMIFS('Jul17-Jun18 Retail'!$J$5:$J$89,'Jul17-Jun18 Retail'!$D$5:$D$89,SBR!P$4,'Jul17-Jun18 Retail'!$E$5:$E$89,SBR!$A11)+SUMIFS('Jul17-Jun18 Retail'!$AG$5:$AG$89,'Jul17-Jun18 Retail'!$D$5:$D$89,SBR!P$4,'Jul17-Jun18 Retail'!$E$5:$E$89,SBR!$A11)+SUMIFS('Jul17-Jun18 Retail'!$AH$5:$AH$89,'Jul17-Jun18 Retail'!$D$5:$D$89,SBR!P$4,'Jul17-Jun18 Retail'!$E$5:$E$89,SBR!$A11)</f>
        <v>1</v>
      </c>
      <c r="Q11" s="132">
        <f ca="1">SUMIFS('Jul17-Jun18 Retail'!$H$5:$H$89,'Jul17-Jun18 Retail'!$D$5:$D$89,SBR!Q$4,'Jul17-Jun18 Retail'!$E$5:$E$89,SBR!$A11)+SUMIFS('Jul17-Jun18 Retail'!$J$5:$J$89,'Jul17-Jun18 Retail'!$D$5:$D$89,SBR!Q$4,'Jul17-Jun18 Retail'!$E$5:$E$89,SBR!$A11)+SUMIFS('Jul17-Jun18 Retail'!$AG$5:$AG$89,'Jul17-Jun18 Retail'!$D$5:$D$89,SBR!Q$4,'Jul17-Jun18 Retail'!$E$5:$E$89,SBR!$A11)+SUMIFS('Jul17-Jun18 Retail'!$AH$5:$AH$89,'Jul17-Jun18 Retail'!$D$5:$D$89,SBR!Q$4,'Jul17-Jun18 Retail'!$E$5:$E$89,SBR!$A11)</f>
        <v>1</v>
      </c>
      <c r="R11" s="132">
        <f ca="1">SUMIFS('Jul17-Jun18 Retail'!$H$5:$H$89,'Jul17-Jun18 Retail'!$D$5:$D$89,SBR!R$4,'Jul17-Jun18 Retail'!$E$5:$E$89,SBR!$A11)+SUMIFS('Jul17-Jun18 Retail'!$J$5:$J$89,'Jul17-Jun18 Retail'!$D$5:$D$89,SBR!R$4,'Jul17-Jun18 Retail'!$E$5:$E$89,SBR!$A11)+SUMIFS('Jul17-Jun18 Retail'!$AG$5:$AG$89,'Jul17-Jun18 Retail'!$D$5:$D$89,SBR!R$4,'Jul17-Jun18 Retail'!$E$5:$E$89,SBR!$A11)+SUMIFS('Jul17-Jun18 Retail'!$AH$5:$AH$89,'Jul17-Jun18 Retail'!$D$5:$D$89,SBR!R$4,'Jul17-Jun18 Retail'!$E$5:$E$89,SBR!$A11)</f>
        <v>1</v>
      </c>
      <c r="S11" s="132">
        <f ca="1">SUMIFS('Jul17-Jun18 Retail'!$H$5:$H$89,'Jul17-Jun18 Retail'!$D$5:$D$89,SBR!S$4,'Jul17-Jun18 Retail'!$E$5:$E$89,SBR!$A11)+SUMIFS('Jul17-Jun18 Retail'!$J$5:$J$89,'Jul17-Jun18 Retail'!$D$5:$D$89,SBR!S$4,'Jul17-Jun18 Retail'!$E$5:$E$89,SBR!$A11)+SUMIFS('Jul17-Jun18 Retail'!$AG$5:$AG$89,'Jul17-Jun18 Retail'!$D$5:$D$89,SBR!S$4,'Jul17-Jun18 Retail'!$E$5:$E$89,SBR!$A11)+SUMIFS('Jul17-Jun18 Retail'!$AH$5:$AH$89,'Jul17-Jun18 Retail'!$D$5:$D$89,SBR!S$4,'Jul17-Jun18 Retail'!$E$5:$E$89,SBR!$A11)</f>
        <v>1</v>
      </c>
      <c r="T11" s="132">
        <f ca="1">SUMIFS('Jul17-Jun18 Retail'!$H$5:$H$89,'Jul17-Jun18 Retail'!$D$5:$D$89,SBR!T$4,'Jul17-Jun18 Retail'!$E$5:$E$89,SBR!$A11)+SUMIFS('Jul17-Jun18 Retail'!$J$5:$J$89,'Jul17-Jun18 Retail'!$D$5:$D$89,SBR!T$4,'Jul17-Jun18 Retail'!$E$5:$E$89,SBR!$A11)+SUMIFS('Jul17-Jun18 Retail'!$AG$5:$AG$89,'Jul17-Jun18 Retail'!$D$5:$D$89,SBR!T$4,'Jul17-Jun18 Retail'!$E$5:$E$89,SBR!$A11)+SUMIFS('Jul17-Jun18 Retail'!$AH$5:$AH$89,'Jul17-Jun18 Retail'!$D$5:$D$89,SBR!T$4,'Jul17-Jun18 Retail'!$E$5:$E$89,SBR!$A11)</f>
        <v>1</v>
      </c>
      <c r="U11" s="132">
        <f ca="1">SUMIFS('Jul17-Jun18 Retail'!$H$5:$H$89,'Jul17-Jun18 Retail'!$D$5:$D$89,SBR!U$4,'Jul17-Jun18 Retail'!$E$5:$E$89,SBR!$A11)+SUMIFS('Jul17-Jun18 Retail'!$J$5:$J$89,'Jul17-Jun18 Retail'!$D$5:$D$89,SBR!U$4,'Jul17-Jun18 Retail'!$E$5:$E$89,SBR!$A11)+SUMIFS('Jul17-Jun18 Retail'!$AG$5:$AG$89,'Jul17-Jun18 Retail'!$D$5:$D$89,SBR!U$4,'Jul17-Jun18 Retail'!$E$5:$E$89,SBR!$A11)+SUMIFS('Jul17-Jun18 Retail'!$AH$5:$AH$89,'Jul17-Jun18 Retail'!$D$5:$D$89,SBR!U$4,'Jul17-Jun18 Retail'!$E$5:$E$89,SBR!$A11)</f>
        <v>1</v>
      </c>
      <c r="V11" s="132">
        <f ca="1">SUMIFS('Jul17-Jun18 Retail'!$H$5:$H$89,'Jul17-Jun18 Retail'!$D$5:$D$89,SBR!V$4,'Jul17-Jun18 Retail'!$E$5:$E$89,SBR!$A11)+SUMIFS('Jul17-Jun18 Retail'!$J$5:$J$89,'Jul17-Jun18 Retail'!$D$5:$D$89,SBR!V$4,'Jul17-Jun18 Retail'!$E$5:$E$89,SBR!$A11)+SUMIFS('Jul17-Jun18 Retail'!$AG$5:$AG$89,'Jul17-Jun18 Retail'!$D$5:$D$89,SBR!V$4,'Jul17-Jun18 Retail'!$E$5:$E$89,SBR!$A11)+SUMIFS('Jul17-Jun18 Retail'!$AH$5:$AH$89,'Jul17-Jun18 Retail'!$D$5:$D$89,SBR!V$4,'Jul17-Jun18 Retail'!$E$5:$E$89,SBR!$A11)</f>
        <v>1</v>
      </c>
      <c r="W11" s="132">
        <f ca="1">SUMIFS('Jul17-Jun18 Retail'!$H$5:$H$89,'Jul17-Jun18 Retail'!$D$5:$D$89,SBR!W$4,'Jul17-Jun18 Retail'!$E$5:$E$89,SBR!$A11)+SUMIFS('Jul17-Jun18 Retail'!$J$5:$J$89,'Jul17-Jun18 Retail'!$D$5:$D$89,SBR!W$4,'Jul17-Jun18 Retail'!$E$5:$E$89,SBR!$A11)+SUMIFS('Jul17-Jun18 Retail'!$AG$5:$AG$89,'Jul17-Jun18 Retail'!$D$5:$D$89,SBR!W$4,'Jul17-Jun18 Retail'!$E$5:$E$89,SBR!$A11)+SUMIFS('Jul17-Jun18 Retail'!$AH$5:$AH$89,'Jul17-Jun18 Retail'!$D$5:$D$89,SBR!W$4,'Jul17-Jun18 Retail'!$E$5:$E$89,SBR!$A11)</f>
        <v>1</v>
      </c>
      <c r="X11" s="132">
        <f ca="1">SUMIFS('Jul17-Jun18 Retail'!$H$5:$H$89,'Jul17-Jun18 Retail'!$D$5:$D$89,SBR!X$4,'Jul17-Jun18 Retail'!$E$5:$E$89,SBR!$A11)+SUMIFS('Jul17-Jun18 Retail'!$J$5:$J$89,'Jul17-Jun18 Retail'!$D$5:$D$89,SBR!X$4,'Jul17-Jun18 Retail'!$E$5:$E$89,SBR!$A11)+SUMIFS('Jul17-Jun18 Retail'!$AG$5:$AG$89,'Jul17-Jun18 Retail'!$D$5:$D$89,SBR!X$4,'Jul17-Jun18 Retail'!$E$5:$E$89,SBR!$A11)+SUMIFS('Jul17-Jun18 Retail'!$AH$5:$AH$89,'Jul17-Jun18 Retail'!$D$5:$D$89,SBR!X$4,'Jul17-Jun18 Retail'!$E$5:$E$89,SBR!$A11)</f>
        <v>1</v>
      </c>
      <c r="Y11" s="132">
        <f ca="1">SUMIFS('Jul17-Jun18 Retail'!$H$5:$H$89,'Jul17-Jun18 Retail'!$D$5:$D$89,SBR!Y$4,'Jul17-Jun18 Retail'!$E$5:$E$89,SBR!$A11)+SUMIFS('Jul17-Jun18 Retail'!$J$5:$J$89,'Jul17-Jun18 Retail'!$D$5:$D$89,SBR!Y$4,'Jul17-Jun18 Retail'!$E$5:$E$89,SBR!$A11)+SUMIFS('Jul17-Jun18 Retail'!$AG$5:$AG$89,'Jul17-Jun18 Retail'!$D$5:$D$89,SBR!Y$4,'Jul17-Jun18 Retail'!$E$5:$E$89,SBR!$A11)+SUMIFS('Jul17-Jun18 Retail'!$AH$5:$AH$89,'Jul17-Jun18 Retail'!$D$5:$D$89,SBR!Y$4,'Jul17-Jun18 Retail'!$E$5:$E$89,SBR!$A11)</f>
        <v>1</v>
      </c>
      <c r="Z11" s="132">
        <f ca="1">SUMIFS('Jul17-Jun18 Retail'!$H$5:$H$89,'Jul17-Jun18 Retail'!$D$5:$D$89,SBR!Z$4,'Jul17-Jun18 Retail'!$E$5:$E$89,SBR!$A11)+SUMIFS('Jul17-Jun18 Retail'!$J$5:$J$89,'Jul17-Jun18 Retail'!$D$5:$D$89,SBR!Z$4,'Jul17-Jun18 Retail'!$E$5:$E$89,SBR!$A11)+SUMIFS('Jul17-Jun18 Retail'!$AG$5:$AG$89,'Jul17-Jun18 Retail'!$D$5:$D$89,SBR!Z$4,'Jul17-Jun18 Retail'!$E$5:$E$89,SBR!$A11)+SUMIFS('Jul17-Jun18 Retail'!$AH$5:$AH$89,'Jul17-Jun18 Retail'!$D$5:$D$89,SBR!Z$4,'Jul17-Jun18 Retail'!$E$5:$E$89,SBR!$A11)</f>
        <v>1</v>
      </c>
      <c r="AA11" s="133">
        <f>(SUMIFS('Jul17-Jun18 Retail'!$K$5:$K$173,'Jul17-Jun18 Retail'!$D$5:$D$173,SBR!AA$4,'Jul17-Jun18 Retail'!$E$5:$E$173,SBR!$A11)+SUMIFS('Jul17-Jun18 Retail'!$L$5:$L$173,'Jul17-Jun18 Retail'!$D$5:$D$173,SBR!AA$4,'Jul17-Jun18 Retail'!$E$5:$E$173,SBR!$A11))*0.1</f>
        <v>0.60000000000000009</v>
      </c>
      <c r="AB11" s="133">
        <f>(SUMIFS('Jul17-Jun18 Retail'!$K$5:$K$173,'Jul17-Jun18 Retail'!$D$5:$D$173,SBR!AB$4,'Jul17-Jun18 Retail'!$E$5:$E$173,SBR!$A11)+SUMIFS('Jul17-Jun18 Retail'!$L$5:$L$173,'Jul17-Jun18 Retail'!$D$5:$D$173,SBR!AB$4,'Jul17-Jun18 Retail'!$E$5:$E$173,SBR!$A11))*0.1</f>
        <v>0.60000000000000009</v>
      </c>
      <c r="AC11" s="133">
        <f>(SUMIFS('Jul17-Jun18 Retail'!$K$5:$K$173,'Jul17-Jun18 Retail'!$D$5:$D$173,SBR!AC$4,'Jul17-Jun18 Retail'!$E$5:$E$173,SBR!$A11)+SUMIFS('Jul17-Jun18 Retail'!$L$5:$L$173,'Jul17-Jun18 Retail'!$D$5:$D$173,SBR!AC$4,'Jul17-Jun18 Retail'!$E$5:$E$173,SBR!$A11))*0.1</f>
        <v>0.60000000000000009</v>
      </c>
      <c r="AD11" s="133">
        <f>(SUMIFS('Jul17-Jun18 Retail'!$K$5:$K$173,'Jul17-Jun18 Retail'!$D$5:$D$173,SBR!AD$4,'Jul17-Jun18 Retail'!$E$5:$E$173,SBR!$A11)+SUMIFS('Jul17-Jun18 Retail'!$L$5:$L$173,'Jul17-Jun18 Retail'!$D$5:$D$173,SBR!AD$4,'Jul17-Jun18 Retail'!$E$5:$E$173,SBR!$A11))*0.1</f>
        <v>0.60000000000000009</v>
      </c>
      <c r="AE11" s="133">
        <f>(SUMIFS('Jul17-Jun18 Retail'!$K$5:$K$173,'Jul17-Jun18 Retail'!$D$5:$D$173,SBR!AE$4,'Jul17-Jun18 Retail'!$E$5:$E$173,SBR!$A11)+SUMIFS('Jul17-Jun18 Retail'!$L$5:$L$173,'Jul17-Jun18 Retail'!$D$5:$D$173,SBR!AE$4,'Jul17-Jun18 Retail'!$E$5:$E$173,SBR!$A11))*0.1</f>
        <v>0.60000000000000009</v>
      </c>
      <c r="AF11" s="133">
        <f>(SUMIFS('Jul17-Jun18 Retail'!$K$5:$K$173,'Jul17-Jun18 Retail'!$D$5:$D$173,SBR!AF$4,'Jul17-Jun18 Retail'!$E$5:$E$173,SBR!$A11)+SUMIFS('Jul17-Jun18 Retail'!$L$5:$L$173,'Jul17-Jun18 Retail'!$D$5:$D$173,SBR!AF$4,'Jul17-Jun18 Retail'!$E$5:$E$173,SBR!$A11))*0.1</f>
        <v>0.60000000000000009</v>
      </c>
      <c r="AG11" s="133">
        <f>(SUMIFS('Jul17-Jun18 Retail'!$K$5:$K$173,'Jul17-Jun18 Retail'!$D$5:$D$173,SBR!AG$4,'Jul17-Jun18 Retail'!$E$5:$E$173,SBR!$A11)+SUMIFS('Jul17-Jun18 Retail'!$L$5:$L$173,'Jul17-Jun18 Retail'!$D$5:$D$173,SBR!AG$4,'Jul17-Jun18 Retail'!$E$5:$E$173,SBR!$A11))*0.1</f>
        <v>0.60000000000000009</v>
      </c>
      <c r="AH11" s="133">
        <f>(SUMIFS('Jul17-Jun18 Retail'!$K$5:$K$173,'Jul17-Jun18 Retail'!$D$5:$D$173,SBR!AH$4,'Jul17-Jun18 Retail'!$E$5:$E$173,SBR!$A11)+SUMIFS('Jul17-Jun18 Retail'!$L$5:$L$173,'Jul17-Jun18 Retail'!$D$5:$D$173,SBR!AH$4,'Jul17-Jun18 Retail'!$E$5:$E$173,SBR!$A11))*0.1</f>
        <v>0.60000000000000009</v>
      </c>
      <c r="AI11" s="133">
        <f>(SUMIFS('Jul17-Jun18 Retail'!$K$5:$K$173,'Jul17-Jun18 Retail'!$D$5:$D$173,SBR!AI$4,'Jul17-Jun18 Retail'!$E$5:$E$173,SBR!$A11)+SUMIFS('Jul17-Jun18 Retail'!$L$5:$L$173,'Jul17-Jun18 Retail'!$D$5:$D$173,SBR!AI$4,'Jul17-Jun18 Retail'!$E$5:$E$173,SBR!$A11))*0.1</f>
        <v>0.60000000000000009</v>
      </c>
      <c r="AJ11" s="133">
        <f>(SUMIFS('Jul17-Jun18 Retail'!$K$5:$K$173,'Jul17-Jun18 Retail'!$D$5:$D$173,SBR!AJ$4,'Jul17-Jun18 Retail'!$E$5:$E$173,SBR!$A11)+SUMIFS('Jul17-Jun18 Retail'!$L$5:$L$173,'Jul17-Jun18 Retail'!$D$5:$D$173,SBR!AJ$4,'Jul17-Jun18 Retail'!$E$5:$E$173,SBR!$A11))*0.1</f>
        <v>0.60000000000000009</v>
      </c>
      <c r="AK11" s="133">
        <f>(SUMIFS('Jul17-Jun18 Retail'!$K$5:$K$173,'Jul17-Jun18 Retail'!$D$5:$D$173,SBR!AK$4,'Jul17-Jun18 Retail'!$E$5:$E$173,SBR!$A11)+SUMIFS('Jul17-Jun18 Retail'!$L$5:$L$173,'Jul17-Jun18 Retail'!$D$5:$D$173,SBR!AK$4,'Jul17-Jun18 Retail'!$E$5:$E$173,SBR!$A11))*0.1</f>
        <v>0.60000000000000009</v>
      </c>
      <c r="AL11" s="133">
        <f>(SUMIFS('Jul17-Jun18 Retail'!$K$5:$K$173,'Jul17-Jun18 Retail'!$D$5:$D$173,SBR!AL$4,'Jul17-Jun18 Retail'!$E$5:$E$173,SBR!$A11)+SUMIFS('Jul17-Jun18 Retail'!$L$5:$L$173,'Jul17-Jun18 Retail'!$D$5:$D$173,SBR!AL$4,'Jul17-Jun18 Retail'!$E$5:$E$173,SBR!$A11))*0.1</f>
        <v>0.60000000000000009</v>
      </c>
      <c r="AM11" s="134">
        <f ca="1">SUMIFS('Jul17-Jun18 Retail'!$AZ$5:$AZ$90,'Jul17-Jun18 Retail'!$D$5:$D$90,SBR!AM$4,'Jul17-Jun18 Retail'!$E$5:$E$90,SBR!$A11)</f>
        <v>586.53</v>
      </c>
      <c r="AN11" s="134">
        <f ca="1">SUMIFS('Jul17-Jun18 Retail'!$AZ$5:$AZ$90,'Jul17-Jun18 Retail'!$D$5:$D$90,SBR!AN$4,'Jul17-Jun18 Retail'!$E$5:$E$90,SBR!$A11)</f>
        <v>586.29</v>
      </c>
      <c r="AO11" s="134">
        <f ca="1">SUMIFS('Jul17-Jun18 Retail'!$AZ$5:$AZ$90,'Jul17-Jun18 Retail'!$D$5:$D$90,SBR!AO$4,'Jul17-Jun18 Retail'!$E$5:$E$90,SBR!$A11)</f>
        <v>586.42999999999995</v>
      </c>
      <c r="AP11" s="134">
        <f ca="1">SUMIFS('Jul17-Jun18 Retail'!$AZ$5:$AZ$90,'Jul17-Jun18 Retail'!$D$5:$D$90,SBR!AP$4,'Jul17-Jun18 Retail'!$E$5:$E$90,SBR!$A11)</f>
        <v>585.95000000000005</v>
      </c>
      <c r="AQ11" s="134">
        <f ca="1">SUMIFS('Jul17-Jun18 Retail'!$AZ$5:$AZ$90,'Jul17-Jun18 Retail'!$D$5:$D$90,SBR!AQ$4,'Jul17-Jun18 Retail'!$E$5:$E$90,SBR!$A11)</f>
        <v>586.47</v>
      </c>
      <c r="AR11" s="134">
        <f ca="1">SUMIFS('Jul17-Jun18 Retail'!$AZ$5:$AZ$90,'Jul17-Jun18 Retail'!$D$5:$D$90,SBR!AR$4,'Jul17-Jun18 Retail'!$E$5:$E$90,SBR!$A11)</f>
        <v>586.59</v>
      </c>
      <c r="AS11" s="134">
        <f ca="1">SUMIFS('Jul17-Jun18 Retail'!$AZ$5:$AZ$90,'Jul17-Jun18 Retail'!$D$5:$D$90,SBR!AS$4,'Jul17-Jun18 Retail'!$E$5:$E$90,SBR!$A11)</f>
        <v>586.82000000000005</v>
      </c>
      <c r="AT11" s="134">
        <f ca="1">SUMIFS('Jul17-Jun18 Retail'!$AZ$5:$AZ$90,'Jul17-Jun18 Retail'!$D$5:$D$90,SBR!AT$4,'Jul17-Jun18 Retail'!$E$5:$E$90,SBR!$A11)</f>
        <v>587.04</v>
      </c>
      <c r="AU11" s="134">
        <f ca="1">SUMIFS('Jul17-Jun18 Retail'!$AZ$5:$AZ$90,'Jul17-Jun18 Retail'!$D$5:$D$90,SBR!AU$4,'Jul17-Jun18 Retail'!$E$5:$E$90,SBR!$A11)</f>
        <v>587.39</v>
      </c>
      <c r="AV11" s="134">
        <f ca="1">SUMIFS('Jul17-Jun18 Retail'!$AZ$5:$AZ$90,'Jul17-Jun18 Retail'!$D$5:$D$90,SBR!AV$4,'Jul17-Jun18 Retail'!$E$5:$E$90,SBR!$A11)</f>
        <v>587.59</v>
      </c>
      <c r="AW11" s="134">
        <f ca="1">SUMIFS('Jul17-Jun18 Retail'!$AZ$5:$AZ$90,'Jul17-Jun18 Retail'!$D$5:$D$90,SBR!AW$4,'Jul17-Jun18 Retail'!$E$5:$E$90,SBR!$A11)</f>
        <v>587.41999999999996</v>
      </c>
      <c r="AX11" s="134">
        <f ca="1">SUMIFS('Jul17-Jun18 Retail'!$AZ$5:$AZ$90,'Jul17-Jun18 Retail'!$D$5:$D$90,SBR!AX$4,'Jul17-Jun18 Retail'!$E$5:$E$90,SBR!$A11)</f>
        <v>586.83000000000004</v>
      </c>
      <c r="AY11" s="128"/>
      <c r="AZ11" s="128"/>
    </row>
    <row r="12" spans="1:60" x14ac:dyDescent="0.25">
      <c r="A12" s="88"/>
      <c r="B12" s="135" t="s">
        <v>295</v>
      </c>
      <c r="C12" s="151">
        <f t="shared" ca="1" si="11"/>
        <v>299372</v>
      </c>
      <c r="D12" s="162">
        <f t="shared" si="12"/>
        <v>10137913.026085168</v>
      </c>
      <c r="E12" s="151">
        <f t="shared" ca="1" si="5"/>
        <v>90254022.089999989</v>
      </c>
      <c r="F12" s="123"/>
      <c r="G12" s="123">
        <f t="shared" ca="1" si="14"/>
        <v>124640</v>
      </c>
      <c r="H12" s="124">
        <f t="shared" si="13"/>
        <v>2832640.7465928709</v>
      </c>
      <c r="I12" s="123">
        <f t="shared" ca="1" si="6"/>
        <v>30651371.129999999</v>
      </c>
      <c r="J12" s="123"/>
      <c r="K12" s="123">
        <f t="shared" ca="1" si="7"/>
        <v>174732</v>
      </c>
      <c r="L12" s="124">
        <f t="shared" si="8"/>
        <v>7305272.2794922972</v>
      </c>
      <c r="M12" s="123">
        <f t="shared" ca="1" si="9"/>
        <v>59602650.959999993</v>
      </c>
      <c r="O12" s="136">
        <f t="shared" ref="O12:AX12" ca="1" si="15">SUM(O10:O11)</f>
        <v>24666</v>
      </c>
      <c r="P12" s="136">
        <f t="shared" ca="1" si="15"/>
        <v>24682</v>
      </c>
      <c r="Q12" s="136">
        <f t="shared" ca="1" si="15"/>
        <v>24692</v>
      </c>
      <c r="R12" s="136">
        <f t="shared" ca="1" si="15"/>
        <v>24766</v>
      </c>
      <c r="S12" s="136">
        <f t="shared" ca="1" si="15"/>
        <v>24955</v>
      </c>
      <c r="T12" s="136">
        <f t="shared" ca="1" si="15"/>
        <v>25150</v>
      </c>
      <c r="U12" s="136">
        <f t="shared" ca="1" si="15"/>
        <v>25238</v>
      </c>
      <c r="V12" s="136">
        <f t="shared" ca="1" si="15"/>
        <v>25249</v>
      </c>
      <c r="W12" s="136">
        <f t="shared" ca="1" si="15"/>
        <v>25232</v>
      </c>
      <c r="X12" s="136">
        <f t="shared" ca="1" si="15"/>
        <v>25102</v>
      </c>
      <c r="Y12" s="136">
        <f t="shared" ca="1" si="15"/>
        <v>24904</v>
      </c>
      <c r="Z12" s="136">
        <f t="shared" ca="1" si="15"/>
        <v>24736</v>
      </c>
      <c r="AA12" s="121">
        <f t="shared" si="15"/>
        <v>274408.43378030171</v>
      </c>
      <c r="AB12" s="121">
        <f t="shared" si="15"/>
        <v>292082.74061164632</v>
      </c>
      <c r="AC12" s="121">
        <f t="shared" si="15"/>
        <v>305290.05140968895</v>
      </c>
      <c r="AD12" s="121">
        <f t="shared" si="15"/>
        <v>475632.258517746</v>
      </c>
      <c r="AE12" s="121">
        <f t="shared" si="15"/>
        <v>856047.42801400798</v>
      </c>
      <c r="AF12" s="121">
        <f t="shared" si="15"/>
        <v>1569540.8038600893</v>
      </c>
      <c r="AG12" s="121">
        <f t="shared" si="15"/>
        <v>2040490.1715611832</v>
      </c>
      <c r="AH12" s="121">
        <f t="shared" si="15"/>
        <v>1766188.8255179359</v>
      </c>
      <c r="AI12" s="121">
        <f t="shared" si="15"/>
        <v>1239345.648274292</v>
      </c>
      <c r="AJ12" s="121">
        <f t="shared" si="15"/>
        <v>644414.89854030963</v>
      </c>
      <c r="AK12" s="121">
        <f t="shared" si="15"/>
        <v>385525.56809185783</v>
      </c>
      <c r="AL12" s="121">
        <f t="shared" si="15"/>
        <v>288946.19790610997</v>
      </c>
      <c r="AM12" s="137">
        <f t="shared" ca="1" si="15"/>
        <v>3543474.3</v>
      </c>
      <c r="AN12" s="137">
        <f t="shared" ca="1" si="15"/>
        <v>3547681.07</v>
      </c>
      <c r="AO12" s="137">
        <f t="shared" ca="1" si="15"/>
        <v>3693261.9000000004</v>
      </c>
      <c r="AP12" s="137">
        <f t="shared" ca="1" si="15"/>
        <v>4316066.58</v>
      </c>
      <c r="AQ12" s="137">
        <f t="shared" ca="1" si="15"/>
        <v>6993735.8899999997</v>
      </c>
      <c r="AR12" s="137">
        <f t="shared" ca="1" si="15"/>
        <v>11564376.779999999</v>
      </c>
      <c r="AS12" s="137">
        <f t="shared" ca="1" si="15"/>
        <v>15320393.26</v>
      </c>
      <c r="AT12" s="137">
        <f t="shared" ca="1" si="15"/>
        <v>14167135.479999999</v>
      </c>
      <c r="AU12" s="137">
        <f t="shared" ca="1" si="15"/>
        <v>11282988.66</v>
      </c>
      <c r="AV12" s="137">
        <f t="shared" ca="1" si="15"/>
        <v>7011938.3999999994</v>
      </c>
      <c r="AW12" s="137">
        <f t="shared" ca="1" si="15"/>
        <v>4918364.38</v>
      </c>
      <c r="AX12" s="137">
        <f t="shared" ca="1" si="15"/>
        <v>3894605.39</v>
      </c>
      <c r="AY12" s="128"/>
      <c r="AZ12" s="128"/>
    </row>
    <row r="13" spans="1:60" x14ac:dyDescent="0.25">
      <c r="A13" s="88"/>
      <c r="B13" s="138"/>
      <c r="C13" s="386"/>
      <c r="D13" s="386"/>
      <c r="E13" s="386"/>
      <c r="F13" s="143"/>
      <c r="G13" s="143"/>
      <c r="H13" s="143"/>
      <c r="I13" s="143"/>
      <c r="J13" s="143"/>
      <c r="K13" s="143"/>
      <c r="L13" s="143"/>
      <c r="M13" s="143"/>
      <c r="O13" s="141"/>
      <c r="P13" s="141"/>
      <c r="Q13" s="141"/>
      <c r="R13" s="141"/>
      <c r="S13" s="141"/>
      <c r="T13" s="141"/>
      <c r="U13" s="152"/>
      <c r="V13" s="152"/>
      <c r="W13" s="152"/>
      <c r="X13" s="152"/>
      <c r="Y13" s="152"/>
      <c r="Z13" s="152"/>
      <c r="AA13" s="142"/>
      <c r="AB13" s="142"/>
      <c r="AC13" s="142"/>
      <c r="AD13" s="142"/>
      <c r="AE13" s="142"/>
      <c r="AF13" s="142"/>
      <c r="AG13" s="153"/>
      <c r="AH13" s="153"/>
      <c r="AI13" s="153"/>
      <c r="AJ13" s="153"/>
      <c r="AK13" s="153"/>
      <c r="AL13" s="153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28"/>
      <c r="AZ13" s="128"/>
    </row>
    <row r="14" spans="1:60" x14ac:dyDescent="0.25">
      <c r="A14" s="88" t="s">
        <v>18</v>
      </c>
      <c r="B14" s="88" t="s">
        <v>19</v>
      </c>
      <c r="C14" s="164">
        <f ca="1">SUM(O14:Z14)</f>
        <v>3138</v>
      </c>
      <c r="D14" s="165">
        <f t="shared" si="12"/>
        <v>1488806.1080976345</v>
      </c>
      <c r="E14" s="164">
        <f t="shared" ca="1" si="5"/>
        <v>10665877.359999999</v>
      </c>
      <c r="F14" s="123"/>
      <c r="G14" s="123">
        <f t="shared" ca="1" si="14"/>
        <v>1312</v>
      </c>
      <c r="H14" s="124">
        <f t="shared" si="13"/>
        <v>474522.53838674462</v>
      </c>
      <c r="I14" s="123">
        <f t="shared" ca="1" si="6"/>
        <v>3818548.42</v>
      </c>
      <c r="J14" s="123"/>
      <c r="K14" s="123">
        <f t="shared" ca="1" si="7"/>
        <v>1826</v>
      </c>
      <c r="L14" s="124">
        <f t="shared" si="8"/>
        <v>1014283.5697108901</v>
      </c>
      <c r="M14" s="123">
        <f t="shared" ca="1" si="9"/>
        <v>6847328.9399999995</v>
      </c>
      <c r="O14" s="132">
        <f ca="1">SUMIFS('Jul17-Jun18 Retail'!$I$5:$I$89,'Jul17-Jun18 Retail'!$D$5:$D$89,SBR!O$4,'Jul17-Jun18 Retail'!$E$5:$E$89,SBR!$A14)+SUMIFS('Jul17-Jun18 Retail'!$J$5:$J$89,'Jul17-Jun18 Retail'!$D$5:$D$89,SBR!O$4,'Jul17-Jun18 Retail'!$E$5:$E$89,SBR!$A14)+SUMIFS('Jul17-Jun18 Retail'!$AG$5:$AG$89,'Jul17-Jun18 Retail'!$D$5:$D$89,SBR!O$4,'Jul17-Jun18 Retail'!$E$5:$E$89,SBR!$A14)+SUMIFS('Jul17-Jun18 Retail'!$AH$5:$AH$89,'Jul17-Jun18 Retail'!$D$5:$D$89,SBR!O$4,'Jul17-Jun18 Retail'!$E$5:$E$89,SBR!$A14)</f>
        <v>258</v>
      </c>
      <c r="P14" s="132">
        <f ca="1">SUMIFS('Jul17-Jun18 Retail'!$I$5:$I$89,'Jul17-Jun18 Retail'!$D$5:$D$89,SBR!P$4,'Jul17-Jun18 Retail'!$E$5:$E$89,SBR!$A14)+SUMIFS('Jul17-Jun18 Retail'!$J$5:$J$89,'Jul17-Jun18 Retail'!$D$5:$D$89,SBR!P$4,'Jul17-Jun18 Retail'!$E$5:$E$89,SBR!$A14)+SUMIFS('Jul17-Jun18 Retail'!$AG$5:$AG$89,'Jul17-Jun18 Retail'!$D$5:$D$89,SBR!P$4,'Jul17-Jun18 Retail'!$E$5:$E$89,SBR!$A14)+SUMIFS('Jul17-Jun18 Retail'!$AH$5:$AH$89,'Jul17-Jun18 Retail'!$D$5:$D$89,SBR!P$4,'Jul17-Jun18 Retail'!$E$5:$E$89,SBR!$A14)</f>
        <v>260</v>
      </c>
      <c r="Q14" s="132">
        <f ca="1">SUMIFS('Jul17-Jun18 Retail'!$I$5:$I$89,'Jul17-Jun18 Retail'!$D$5:$D$89,SBR!Q$4,'Jul17-Jun18 Retail'!$E$5:$E$89,SBR!$A14)+SUMIFS('Jul17-Jun18 Retail'!$J$5:$J$89,'Jul17-Jun18 Retail'!$D$5:$D$89,SBR!Q$4,'Jul17-Jun18 Retail'!$E$5:$E$89,SBR!$A14)+SUMIFS('Jul17-Jun18 Retail'!$AG$5:$AG$89,'Jul17-Jun18 Retail'!$D$5:$D$89,SBR!Q$4,'Jul17-Jun18 Retail'!$E$5:$E$89,SBR!$A14)+SUMIFS('Jul17-Jun18 Retail'!$AH$5:$AH$89,'Jul17-Jun18 Retail'!$D$5:$D$89,SBR!Q$4,'Jul17-Jun18 Retail'!$E$5:$E$89,SBR!$A14)</f>
        <v>260</v>
      </c>
      <c r="R14" s="132">
        <f ca="1">SUMIFS('Jul17-Jun18 Retail'!$I$5:$I$89,'Jul17-Jun18 Retail'!$D$5:$D$89,SBR!R$4,'Jul17-Jun18 Retail'!$E$5:$E$89,SBR!$A14)+SUMIFS('Jul17-Jun18 Retail'!$J$5:$J$89,'Jul17-Jun18 Retail'!$D$5:$D$89,SBR!R$4,'Jul17-Jun18 Retail'!$E$5:$E$89,SBR!$A14)+SUMIFS('Jul17-Jun18 Retail'!$AG$5:$AG$89,'Jul17-Jun18 Retail'!$D$5:$D$89,SBR!R$4,'Jul17-Jun18 Retail'!$E$5:$E$89,SBR!$A14)+SUMIFS('Jul17-Jun18 Retail'!$AH$5:$AH$89,'Jul17-Jun18 Retail'!$D$5:$D$89,SBR!R$4,'Jul17-Jun18 Retail'!$E$5:$E$89,SBR!$A14)</f>
        <v>260</v>
      </c>
      <c r="S14" s="132">
        <f ca="1">SUMIFS('Jul17-Jun18 Retail'!$I$5:$I$89,'Jul17-Jun18 Retail'!$D$5:$D$89,SBR!S$4,'Jul17-Jun18 Retail'!$E$5:$E$89,SBR!$A14)+SUMIFS('Jul17-Jun18 Retail'!$J$5:$J$89,'Jul17-Jun18 Retail'!$D$5:$D$89,SBR!S$4,'Jul17-Jun18 Retail'!$E$5:$E$89,SBR!$A14)+SUMIFS('Jul17-Jun18 Retail'!$AG$5:$AG$89,'Jul17-Jun18 Retail'!$D$5:$D$89,SBR!S$4,'Jul17-Jun18 Retail'!$E$5:$E$89,SBR!$A14)+SUMIFS('Jul17-Jun18 Retail'!$AH$5:$AH$89,'Jul17-Jun18 Retail'!$D$5:$D$89,SBR!S$4,'Jul17-Jun18 Retail'!$E$5:$E$89,SBR!$A14)</f>
        <v>260</v>
      </c>
      <c r="T14" s="132">
        <f ca="1">SUMIFS('Jul17-Jun18 Retail'!$I$5:$I$89,'Jul17-Jun18 Retail'!$D$5:$D$89,SBR!T$4,'Jul17-Jun18 Retail'!$E$5:$E$89,SBR!$A14)+SUMIFS('Jul17-Jun18 Retail'!$J$5:$J$89,'Jul17-Jun18 Retail'!$D$5:$D$89,SBR!T$4,'Jul17-Jun18 Retail'!$E$5:$E$89,SBR!$A14)+SUMIFS('Jul17-Jun18 Retail'!$AG$5:$AG$89,'Jul17-Jun18 Retail'!$D$5:$D$89,SBR!T$4,'Jul17-Jun18 Retail'!$E$5:$E$89,SBR!$A14)+SUMIFS('Jul17-Jun18 Retail'!$AH$5:$AH$89,'Jul17-Jun18 Retail'!$D$5:$D$89,SBR!T$4,'Jul17-Jun18 Retail'!$E$5:$E$89,SBR!$A14)</f>
        <v>262</v>
      </c>
      <c r="U14" s="132">
        <f ca="1">SUMIFS('Jul17-Jun18 Retail'!$I$5:$I$89,'Jul17-Jun18 Retail'!$D$5:$D$89,SBR!U$4,'Jul17-Jun18 Retail'!$E$5:$E$89,SBR!$A14)+SUMIFS('Jul17-Jun18 Retail'!$J$5:$J$89,'Jul17-Jun18 Retail'!$D$5:$D$89,SBR!U$4,'Jul17-Jun18 Retail'!$E$5:$E$89,SBR!$A14)+SUMIFS('Jul17-Jun18 Retail'!$AG$5:$AG$89,'Jul17-Jun18 Retail'!$D$5:$D$89,SBR!U$4,'Jul17-Jun18 Retail'!$E$5:$E$89,SBR!$A14)+SUMIFS('Jul17-Jun18 Retail'!$AH$5:$AH$89,'Jul17-Jun18 Retail'!$D$5:$D$89,SBR!U$4,'Jul17-Jun18 Retail'!$E$5:$E$89,SBR!$A14)</f>
        <v>262</v>
      </c>
      <c r="V14" s="132">
        <f ca="1">SUMIFS('Jul17-Jun18 Retail'!$I$5:$I$89,'Jul17-Jun18 Retail'!$D$5:$D$89,SBR!V$4,'Jul17-Jun18 Retail'!$E$5:$E$89,SBR!$A14)+SUMIFS('Jul17-Jun18 Retail'!$J$5:$J$89,'Jul17-Jun18 Retail'!$D$5:$D$89,SBR!V$4,'Jul17-Jun18 Retail'!$E$5:$E$89,SBR!$A14)+SUMIFS('Jul17-Jun18 Retail'!$AG$5:$AG$89,'Jul17-Jun18 Retail'!$D$5:$D$89,SBR!V$4,'Jul17-Jun18 Retail'!$E$5:$E$89,SBR!$A14)+SUMIFS('Jul17-Jun18 Retail'!$AH$5:$AH$89,'Jul17-Jun18 Retail'!$D$5:$D$89,SBR!V$4,'Jul17-Jun18 Retail'!$E$5:$E$89,SBR!$A14)</f>
        <v>262</v>
      </c>
      <c r="W14" s="132">
        <f ca="1">SUMIFS('Jul17-Jun18 Retail'!$I$5:$I$89,'Jul17-Jun18 Retail'!$D$5:$D$89,SBR!W$4,'Jul17-Jun18 Retail'!$E$5:$E$89,SBR!$A14)+SUMIFS('Jul17-Jun18 Retail'!$J$5:$J$89,'Jul17-Jun18 Retail'!$D$5:$D$89,SBR!W$4,'Jul17-Jun18 Retail'!$E$5:$E$89,SBR!$A14)+SUMIFS('Jul17-Jun18 Retail'!$AG$5:$AG$89,'Jul17-Jun18 Retail'!$D$5:$D$89,SBR!W$4,'Jul17-Jun18 Retail'!$E$5:$E$89,SBR!$A14)+SUMIFS('Jul17-Jun18 Retail'!$AH$5:$AH$89,'Jul17-Jun18 Retail'!$D$5:$D$89,SBR!W$4,'Jul17-Jun18 Retail'!$E$5:$E$89,SBR!$A14)</f>
        <v>262</v>
      </c>
      <c r="X14" s="132">
        <f ca="1">SUMIFS('Jul17-Jun18 Retail'!$I$5:$I$89,'Jul17-Jun18 Retail'!$D$5:$D$89,SBR!X$4,'Jul17-Jun18 Retail'!$E$5:$E$89,SBR!$A14)+SUMIFS('Jul17-Jun18 Retail'!$J$5:$J$89,'Jul17-Jun18 Retail'!$D$5:$D$89,SBR!X$4,'Jul17-Jun18 Retail'!$E$5:$E$89,SBR!$A14)+SUMIFS('Jul17-Jun18 Retail'!$AG$5:$AG$89,'Jul17-Jun18 Retail'!$D$5:$D$89,SBR!X$4,'Jul17-Jun18 Retail'!$E$5:$E$89,SBR!$A14)+SUMIFS('Jul17-Jun18 Retail'!$AH$5:$AH$89,'Jul17-Jun18 Retail'!$D$5:$D$89,SBR!X$4,'Jul17-Jun18 Retail'!$E$5:$E$89,SBR!$A14)</f>
        <v>264</v>
      </c>
      <c r="Y14" s="132">
        <f ca="1">SUMIFS('Jul17-Jun18 Retail'!$I$5:$I$89,'Jul17-Jun18 Retail'!$D$5:$D$89,SBR!Y$4,'Jul17-Jun18 Retail'!$E$5:$E$89,SBR!$A14)+SUMIFS('Jul17-Jun18 Retail'!$J$5:$J$89,'Jul17-Jun18 Retail'!$D$5:$D$89,SBR!Y$4,'Jul17-Jun18 Retail'!$E$5:$E$89,SBR!$A14)+SUMIFS('Jul17-Jun18 Retail'!$AG$5:$AG$89,'Jul17-Jun18 Retail'!$D$5:$D$89,SBR!Y$4,'Jul17-Jun18 Retail'!$E$5:$E$89,SBR!$A14)+SUMIFS('Jul17-Jun18 Retail'!$AH$5:$AH$89,'Jul17-Jun18 Retail'!$D$5:$D$89,SBR!Y$4,'Jul17-Jun18 Retail'!$E$5:$E$89,SBR!$A14)</f>
        <v>264</v>
      </c>
      <c r="Z14" s="132">
        <f ca="1">SUMIFS('Jul17-Jun18 Retail'!$I$5:$I$89,'Jul17-Jun18 Retail'!$D$5:$D$89,SBR!Z$4,'Jul17-Jun18 Retail'!$E$5:$E$89,SBR!$A14)+SUMIFS('Jul17-Jun18 Retail'!$J$5:$J$89,'Jul17-Jun18 Retail'!$D$5:$D$89,SBR!Z$4,'Jul17-Jun18 Retail'!$E$5:$E$89,SBR!$A14)+SUMIFS('Jul17-Jun18 Retail'!$AG$5:$AG$89,'Jul17-Jun18 Retail'!$D$5:$D$89,SBR!Z$4,'Jul17-Jun18 Retail'!$E$5:$E$89,SBR!$A14)+SUMIFS('Jul17-Jun18 Retail'!$AH$5:$AH$89,'Jul17-Jun18 Retail'!$D$5:$D$89,SBR!Z$4,'Jul17-Jun18 Retail'!$E$5:$E$89,SBR!$A14)</f>
        <v>264</v>
      </c>
      <c r="AA14" s="133">
        <f>(SUMIFS('Jul17-Jun18 Retail'!$K$5:$K$173,'Jul17-Jun18 Retail'!$D$5:$D$173,SBR!AA$4,'Jul17-Jun18 Retail'!$E$5:$E$173,SBR!$A14)+SUMIFS('Jul17-Jun18 Retail'!$L$5:$L$173,'Jul17-Jun18 Retail'!$D$5:$D$173,SBR!AA$4,'Jul17-Jun18 Retail'!$E$5:$E$173,SBR!$A14))*0.1</f>
        <v>80310.180473801956</v>
      </c>
      <c r="AB14" s="133">
        <f>(SUMIFS('Jul17-Jun18 Retail'!$K$5:$K$173,'Jul17-Jun18 Retail'!$D$5:$D$173,SBR!AB$4,'Jul17-Jun18 Retail'!$E$5:$E$173,SBR!$A14)+SUMIFS('Jul17-Jun18 Retail'!$L$5:$L$173,'Jul17-Jun18 Retail'!$D$5:$D$173,SBR!AB$4,'Jul17-Jun18 Retail'!$E$5:$E$173,SBR!$A14))*0.1</f>
        <v>87097.138292480449</v>
      </c>
      <c r="AC14" s="133">
        <f>(SUMIFS('Jul17-Jun18 Retail'!$K$5:$K$173,'Jul17-Jun18 Retail'!$D$5:$D$173,SBR!AC$4,'Jul17-Jun18 Retail'!$E$5:$E$173,SBR!$A14)+SUMIFS('Jul17-Jun18 Retail'!$L$5:$L$173,'Jul17-Jun18 Retail'!$D$5:$D$173,SBR!AC$4,'Jul17-Jun18 Retail'!$E$5:$E$173,SBR!$A14))*0.1</f>
        <v>88370.633592162456</v>
      </c>
      <c r="AD14" s="133">
        <f>(SUMIFS('Jul17-Jun18 Retail'!$K$5:$K$173,'Jul17-Jun18 Retail'!$D$5:$D$173,SBR!AD$4,'Jul17-Jun18 Retail'!$E$5:$E$173,SBR!$A14)+SUMIFS('Jul17-Jun18 Retail'!$L$5:$L$173,'Jul17-Jun18 Retail'!$D$5:$D$173,SBR!AD$4,'Jul17-Jun18 Retail'!$E$5:$E$173,SBR!$A14))*0.1</f>
        <v>133783.9240638472</v>
      </c>
      <c r="AE14" s="133">
        <f>(SUMIFS('Jul17-Jun18 Retail'!$K$5:$K$173,'Jul17-Jun18 Retail'!$D$5:$D$173,SBR!AE$4,'Jul17-Jun18 Retail'!$E$5:$E$173,SBR!$A14)+SUMIFS('Jul17-Jun18 Retail'!$L$5:$L$173,'Jul17-Jun18 Retail'!$D$5:$D$173,SBR!AE$4,'Jul17-Jun18 Retail'!$E$5:$E$173,SBR!$A14))*0.1</f>
        <v>152358.9002778627</v>
      </c>
      <c r="AF14" s="133">
        <f>(SUMIFS('Jul17-Jun18 Retail'!$K$5:$K$173,'Jul17-Jun18 Retail'!$D$5:$D$173,SBR!AF$4,'Jul17-Jun18 Retail'!$E$5:$E$173,SBR!$A14)+SUMIFS('Jul17-Jun18 Retail'!$L$5:$L$173,'Jul17-Jun18 Retail'!$D$5:$D$173,SBR!AF$4,'Jul17-Jun18 Retail'!$E$5:$E$173,SBR!$A14))*0.1</f>
        <v>183709.15432621259</v>
      </c>
      <c r="AG14" s="133">
        <f>(SUMIFS('Jul17-Jun18 Retail'!$K$5:$K$90,'Jul17-Jun18 Retail'!$D$5:$D$90,SBR!AG$4,'Jul17-Jun18 Retail'!$E$5:$E$90,SBR!$A14)+SUMIFS('Jul17-Jun18 Retail'!$L$5:$L$90,'Jul17-Jun18 Retail'!$D$5:$D$90,SBR!AG$4,'Jul17-Jun18 Retail'!$E$5:$E$90,SBR!$A14))*0.1</f>
        <v>191838.79932161901</v>
      </c>
      <c r="AH14" s="133">
        <f>(SUMIFS('Jul17-Jun18 Retail'!$K$5:$K$90,'Jul17-Jun18 Retail'!$D$5:$D$90,SBR!AH$4,'Jul17-Jun18 Retail'!$E$5:$E$90,SBR!$A14)+SUMIFS('Jul17-Jun18 Retail'!$L$5:$L$90,'Jul17-Jun18 Retail'!$D$5:$D$90,SBR!AH$4,'Jul17-Jun18 Retail'!$E$5:$E$90,SBR!$A14))*0.1</f>
        <v>177125.01983670576</v>
      </c>
      <c r="AI14" s="133">
        <f>(SUMIFS('Jul17-Jun18 Retail'!$K$5:$K$90,'Jul17-Jun18 Retail'!$D$5:$D$90,SBR!AI$4,'Jul17-Jun18 Retail'!$E$5:$E$90,SBR!$A14)+SUMIFS('Jul17-Jun18 Retail'!$L$5:$L$90,'Jul17-Jun18 Retail'!$D$5:$D$90,SBR!AI$4,'Jul17-Jun18 Retail'!$E$5:$E$90,SBR!$A14))*0.1</f>
        <v>131542.84360345543</v>
      </c>
      <c r="AJ14" s="133">
        <f>(SUMIFS('Jul17-Jun18 Retail'!$K$5:$K$90,'Jul17-Jun18 Retail'!$D$5:$D$90,SBR!AJ$4,'Jul17-Jun18 Retail'!$E$5:$E$90,SBR!$A14)+SUMIFS('Jul17-Jun18 Retail'!$L$5:$L$90,'Jul17-Jun18 Retail'!$D$5:$D$90,SBR!AJ$4,'Jul17-Jun18 Retail'!$E$5:$E$90,SBR!$A14))*0.1</f>
        <v>95906.33890011214</v>
      </c>
      <c r="AK14" s="133">
        <f>(SUMIFS('Jul17-Jun18 Retail'!$K$5:$K$90,'Jul17-Jun18 Retail'!$D$5:$D$90,SBR!AK$4,'Jul17-Jun18 Retail'!$E$5:$E$90,SBR!$A14)+SUMIFS('Jul17-Jun18 Retail'!$L$5:$L$90,'Jul17-Jun18 Retail'!$D$5:$D$90,SBR!AK$4,'Jul17-Jun18 Retail'!$E$5:$E$90,SBR!$A14))*0.1</f>
        <v>85411.439916090618</v>
      </c>
      <c r="AL14" s="133">
        <f>(SUMIFS('Jul17-Jun18 Retail'!$K$5:$K$90,'Jul17-Jun18 Retail'!$D$5:$D$90,SBR!AL$4,'Jul17-Jun18 Retail'!$E$5:$E$90,SBR!$A14)+SUMIFS('Jul17-Jun18 Retail'!$L$5:$L$90,'Jul17-Jun18 Retail'!$D$5:$D$90,SBR!AL$4,'Jul17-Jun18 Retail'!$E$5:$E$90,SBR!$A14))*0.1</f>
        <v>81351.73549328449</v>
      </c>
      <c r="AM14" s="134">
        <f ca="1">SUMIFS('Jul17-Jun18 Retail'!$AZ$5:$AZ$90,'Jul17-Jun18 Retail'!$D$5:$D$90,SBR!AM$4,'Jul17-Jun18 Retail'!$E$5:$E$90,SBR!$A14)</f>
        <v>557893.18999999994</v>
      </c>
      <c r="AN14" s="134">
        <f ca="1">SUMIFS('Jul17-Jun18 Retail'!$AZ$5:$AZ$90,'Jul17-Jun18 Retail'!$D$5:$D$90,SBR!AN$4,'Jul17-Jun18 Retail'!$E$5:$E$90,SBR!$A14)</f>
        <v>562085.81000000006</v>
      </c>
      <c r="AO14" s="134">
        <f ca="1">SUMIFS('Jul17-Jun18 Retail'!$AZ$5:$AZ$90,'Jul17-Jun18 Retail'!$D$5:$D$90,SBR!AO$4,'Jul17-Jun18 Retail'!$E$5:$E$90,SBR!$A14)</f>
        <v>589641.19999999995</v>
      </c>
      <c r="AP14" s="134">
        <f ca="1">SUMIFS('Jul17-Jun18 Retail'!$AZ$5:$AZ$90,'Jul17-Jun18 Retail'!$D$5:$D$90,SBR!AP$4,'Jul17-Jun18 Retail'!$E$5:$E$90,SBR!$A14)</f>
        <v>737431.02</v>
      </c>
      <c r="AQ14" s="134">
        <f ca="1">SUMIFS('Jul17-Jun18 Retail'!$AZ$5:$AZ$90,'Jul17-Jun18 Retail'!$D$5:$D$90,SBR!AQ$4,'Jul17-Jun18 Retail'!$E$5:$E$90,SBR!$A14)</f>
        <v>997993.94</v>
      </c>
      <c r="AR14" s="134">
        <f ca="1">SUMIFS('Jul17-Jun18 Retail'!$AZ$5:$AZ$90,'Jul17-Jun18 Retail'!$D$5:$D$90,SBR!AR$4,'Jul17-Jun18 Retail'!$E$5:$E$90,SBR!$A14)</f>
        <v>1243002.56</v>
      </c>
      <c r="AS14" s="134">
        <f ca="1">SUMIFS('Jul17-Jun18 Retail'!$AZ$5:$AZ$90,'Jul17-Jun18 Retail'!$D$5:$D$90,SBR!AS$4,'Jul17-Jun18 Retail'!$E$5:$E$90,SBR!$A14)</f>
        <v>1376009.1</v>
      </c>
      <c r="AT14" s="134">
        <f ca="1">SUMIFS('Jul17-Jun18 Retail'!$AZ$5:$AZ$90,'Jul17-Jun18 Retail'!$D$5:$D$90,SBR!AT$4,'Jul17-Jun18 Retail'!$E$5:$E$90,SBR!$A14)</f>
        <v>1341165.31</v>
      </c>
      <c r="AU14" s="134">
        <f ca="1">SUMIFS('Jul17-Jun18 Retail'!$AZ$5:$AZ$90,'Jul17-Jun18 Retail'!$D$5:$D$90,SBR!AU$4,'Jul17-Jun18 Retail'!$E$5:$E$90,SBR!$A14)</f>
        <v>1095520.8</v>
      </c>
      <c r="AV14" s="134">
        <f ca="1">SUMIFS('Jul17-Jun18 Retail'!$AZ$5:$AZ$90,'Jul17-Jun18 Retail'!$D$5:$D$90,SBR!AV$4,'Jul17-Jun18 Retail'!$E$5:$E$90,SBR!$A14)</f>
        <v>830929.18</v>
      </c>
      <c r="AW14" s="134">
        <f ca="1">SUMIFS('Jul17-Jun18 Retail'!$AZ$5:$AZ$90,'Jul17-Jun18 Retail'!$D$5:$D$90,SBR!AW$4,'Jul17-Jun18 Retail'!$E$5:$E$90,SBR!$A14)</f>
        <v>723739.21</v>
      </c>
      <c r="AX14" s="134">
        <f ca="1">SUMIFS('Jul17-Jun18 Retail'!$AZ$5:$AZ$90,'Jul17-Jun18 Retail'!$D$5:$D$90,SBR!AX$4,'Jul17-Jun18 Retail'!$E$5:$E$90,SBR!$A14)</f>
        <v>610466.04</v>
      </c>
      <c r="AY14" s="128"/>
      <c r="AZ14" s="128"/>
    </row>
    <row r="15" spans="1:60" x14ac:dyDescent="0.25">
      <c r="B15" s="135" t="s">
        <v>297</v>
      </c>
      <c r="C15" s="151">
        <f t="shared" ref="C15" ca="1" si="16">SUM(O15:Z15)</f>
        <v>3138</v>
      </c>
      <c r="D15" s="162">
        <f t="shared" si="12"/>
        <v>1488806.1080976345</v>
      </c>
      <c r="E15" s="151">
        <f t="shared" ca="1" si="5"/>
        <v>10665877.359999999</v>
      </c>
      <c r="F15" s="123"/>
      <c r="G15" s="123">
        <f t="shared" ca="1" si="14"/>
        <v>1312</v>
      </c>
      <c r="H15" s="124">
        <f t="shared" si="13"/>
        <v>474522.53838674462</v>
      </c>
      <c r="I15" s="123">
        <f t="shared" ca="1" si="6"/>
        <v>3818548.42</v>
      </c>
      <c r="J15" s="123"/>
      <c r="K15" s="123">
        <f t="shared" ca="1" si="7"/>
        <v>1826</v>
      </c>
      <c r="L15" s="124">
        <f t="shared" si="8"/>
        <v>1014283.5697108901</v>
      </c>
      <c r="M15" s="123">
        <f t="shared" ca="1" si="9"/>
        <v>6847328.9399999995</v>
      </c>
      <c r="O15" s="136">
        <f t="shared" ref="O15:AX15" ca="1" si="17">SUM(O14:O14)</f>
        <v>258</v>
      </c>
      <c r="P15" s="136">
        <f t="shared" ca="1" si="17"/>
        <v>260</v>
      </c>
      <c r="Q15" s="136">
        <f t="shared" ca="1" si="17"/>
        <v>260</v>
      </c>
      <c r="R15" s="136">
        <f t="shared" ca="1" si="17"/>
        <v>260</v>
      </c>
      <c r="S15" s="136">
        <f t="shared" ca="1" si="17"/>
        <v>260</v>
      </c>
      <c r="T15" s="136">
        <f t="shared" ca="1" si="17"/>
        <v>262</v>
      </c>
      <c r="U15" s="136">
        <f t="shared" ca="1" si="17"/>
        <v>262</v>
      </c>
      <c r="V15" s="136">
        <f t="shared" ca="1" si="17"/>
        <v>262</v>
      </c>
      <c r="W15" s="136">
        <f t="shared" ca="1" si="17"/>
        <v>262</v>
      </c>
      <c r="X15" s="136">
        <f t="shared" ca="1" si="17"/>
        <v>264</v>
      </c>
      <c r="Y15" s="136">
        <f t="shared" ca="1" si="17"/>
        <v>264</v>
      </c>
      <c r="Z15" s="136">
        <f t="shared" ca="1" si="17"/>
        <v>264</v>
      </c>
      <c r="AA15" s="121">
        <f t="shared" si="17"/>
        <v>80310.180473801956</v>
      </c>
      <c r="AB15" s="121">
        <f t="shared" si="17"/>
        <v>87097.138292480449</v>
      </c>
      <c r="AC15" s="121">
        <f t="shared" si="17"/>
        <v>88370.633592162456</v>
      </c>
      <c r="AD15" s="121">
        <f t="shared" si="17"/>
        <v>133783.9240638472</v>
      </c>
      <c r="AE15" s="121">
        <f t="shared" si="17"/>
        <v>152358.9002778627</v>
      </c>
      <c r="AF15" s="121">
        <f t="shared" si="17"/>
        <v>183709.15432621259</v>
      </c>
      <c r="AG15" s="121">
        <f t="shared" si="17"/>
        <v>191838.79932161901</v>
      </c>
      <c r="AH15" s="121">
        <f t="shared" si="17"/>
        <v>177125.01983670576</v>
      </c>
      <c r="AI15" s="121">
        <f t="shared" si="17"/>
        <v>131542.84360345543</v>
      </c>
      <c r="AJ15" s="121">
        <f t="shared" si="17"/>
        <v>95906.33890011214</v>
      </c>
      <c r="AK15" s="121">
        <f t="shared" si="17"/>
        <v>85411.439916090618</v>
      </c>
      <c r="AL15" s="121">
        <f t="shared" si="17"/>
        <v>81351.73549328449</v>
      </c>
      <c r="AM15" s="137">
        <f t="shared" ca="1" si="17"/>
        <v>557893.18999999994</v>
      </c>
      <c r="AN15" s="137">
        <f t="shared" ca="1" si="17"/>
        <v>562085.81000000006</v>
      </c>
      <c r="AO15" s="137">
        <f t="shared" ca="1" si="17"/>
        <v>589641.19999999995</v>
      </c>
      <c r="AP15" s="137">
        <f t="shared" ca="1" si="17"/>
        <v>737431.02</v>
      </c>
      <c r="AQ15" s="137">
        <f t="shared" ca="1" si="17"/>
        <v>997993.94</v>
      </c>
      <c r="AR15" s="137">
        <f t="shared" ca="1" si="17"/>
        <v>1243002.56</v>
      </c>
      <c r="AS15" s="137">
        <f t="shared" ca="1" si="17"/>
        <v>1376009.1</v>
      </c>
      <c r="AT15" s="137">
        <f t="shared" ca="1" si="17"/>
        <v>1341165.31</v>
      </c>
      <c r="AU15" s="137">
        <f t="shared" ca="1" si="17"/>
        <v>1095520.8</v>
      </c>
      <c r="AV15" s="137">
        <f t="shared" ca="1" si="17"/>
        <v>830929.18</v>
      </c>
      <c r="AW15" s="137">
        <f t="shared" ca="1" si="17"/>
        <v>723739.21</v>
      </c>
      <c r="AX15" s="137">
        <f t="shared" ca="1" si="17"/>
        <v>610466.04</v>
      </c>
      <c r="AY15" s="128"/>
      <c r="AZ15" s="128"/>
    </row>
    <row r="16" spans="1:60" x14ac:dyDescent="0.25">
      <c r="B16" s="135"/>
      <c r="C16" s="151"/>
      <c r="D16" s="162"/>
      <c r="E16" s="151"/>
      <c r="F16" s="123"/>
      <c r="G16" s="123"/>
      <c r="H16" s="124"/>
      <c r="I16" s="123"/>
      <c r="J16" s="123"/>
      <c r="K16" s="123"/>
      <c r="L16" s="124"/>
      <c r="M16" s="123"/>
      <c r="O16" s="136"/>
      <c r="P16" s="136"/>
      <c r="Q16" s="136"/>
      <c r="R16" s="136"/>
      <c r="S16" s="136"/>
      <c r="T16" s="136"/>
      <c r="U16" s="152"/>
      <c r="V16" s="152"/>
      <c r="W16" s="152"/>
      <c r="X16" s="152"/>
      <c r="Y16" s="152"/>
      <c r="Z16" s="152"/>
      <c r="AA16" s="142"/>
      <c r="AB16" s="142"/>
      <c r="AC16" s="142"/>
      <c r="AD16" s="142"/>
      <c r="AE16" s="142"/>
      <c r="AF16" s="142"/>
      <c r="AG16" s="153"/>
      <c r="AH16" s="153"/>
      <c r="AI16" s="153"/>
      <c r="AJ16" s="153"/>
      <c r="AK16" s="153"/>
      <c r="AL16" s="153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28"/>
      <c r="AZ16" s="128"/>
    </row>
    <row r="17" spans="1:60" x14ac:dyDescent="0.25">
      <c r="A17" s="185" t="s">
        <v>5</v>
      </c>
      <c r="B17" s="147" t="s">
        <v>294</v>
      </c>
      <c r="C17" s="151">
        <f ca="1">SUM(O17:Z17)</f>
        <v>48</v>
      </c>
      <c r="D17" s="162">
        <f t="shared" si="12"/>
        <v>128433.38022446193</v>
      </c>
      <c r="E17" s="151">
        <f t="shared" ca="1" si="5"/>
        <v>818632.44</v>
      </c>
      <c r="F17" s="131"/>
      <c r="G17" s="123">
        <f t="shared" ca="1" si="14"/>
        <v>20</v>
      </c>
      <c r="H17" s="124">
        <f t="shared" si="13"/>
        <v>43527.333652988513</v>
      </c>
      <c r="I17" s="123">
        <f t="shared" ca="1" si="6"/>
        <v>330432.68</v>
      </c>
      <c r="J17" s="131"/>
      <c r="K17" s="123">
        <f t="shared" ca="1" si="7"/>
        <v>28</v>
      </c>
      <c r="L17" s="124">
        <f t="shared" si="8"/>
        <v>84906.046571473402</v>
      </c>
      <c r="M17" s="123">
        <f t="shared" ca="1" si="9"/>
        <v>488199.75999999995</v>
      </c>
      <c r="O17" s="254">
        <f ca="1">SUMIFS('Jul17-Jun18 Retail'!$H$5:$H$89,'Jul17-Jun18 Retail'!$D$5:$D$89,SBR!O$4,'Jul17-Jun18 Retail'!$E$5:$E$89,SBR!$A17)+SUMIFS('Jul17-Jun18 Retail'!$AG$5:$AG$89,'Jul17-Jun18 Retail'!$D$5:$D$89,SBR!O$4,'Jul17-Jun18 Retail'!$E$5:$E$89,SBR!$A17)</f>
        <v>4</v>
      </c>
      <c r="P17" s="254">
        <f ca="1">SUMIFS('Jul17-Jun18 Retail'!$H$5:$H$89,'Jul17-Jun18 Retail'!$D$5:$D$89,SBR!P$4,'Jul17-Jun18 Retail'!$E$5:$E$89,SBR!$A17)+SUMIFS('Jul17-Jun18 Retail'!$AG$5:$AG$89,'Jul17-Jun18 Retail'!$D$5:$D$89,SBR!P$4,'Jul17-Jun18 Retail'!$E$5:$E$89,SBR!$A17)</f>
        <v>4</v>
      </c>
      <c r="Q17" s="254">
        <f ca="1">SUMIFS('Jul17-Jun18 Retail'!$H$5:$H$89,'Jul17-Jun18 Retail'!$D$5:$D$89,SBR!Q$4,'Jul17-Jun18 Retail'!$E$5:$E$89,SBR!$A17)+SUMIFS('Jul17-Jun18 Retail'!$AG$5:$AG$89,'Jul17-Jun18 Retail'!$D$5:$D$89,SBR!Q$4,'Jul17-Jun18 Retail'!$E$5:$E$89,SBR!$A17)</f>
        <v>4</v>
      </c>
      <c r="R17" s="254">
        <f ca="1">SUMIFS('Jul17-Jun18 Retail'!$H$5:$H$89,'Jul17-Jun18 Retail'!$D$5:$D$89,SBR!R$4,'Jul17-Jun18 Retail'!$E$5:$E$89,SBR!$A17)+SUMIFS('Jul17-Jun18 Retail'!$AG$5:$AG$89,'Jul17-Jun18 Retail'!$D$5:$D$89,SBR!R$4,'Jul17-Jun18 Retail'!$E$5:$E$89,SBR!$A17)</f>
        <v>4</v>
      </c>
      <c r="S17" s="254">
        <f ca="1">SUMIFS('Jul17-Jun18 Retail'!$H$5:$H$89,'Jul17-Jun18 Retail'!$D$5:$D$89,SBR!S$4,'Jul17-Jun18 Retail'!$E$5:$E$89,SBR!$A17)+SUMIFS('Jul17-Jun18 Retail'!$AG$5:$AG$89,'Jul17-Jun18 Retail'!$D$5:$D$89,SBR!S$4,'Jul17-Jun18 Retail'!$E$5:$E$89,SBR!$A17)</f>
        <v>4</v>
      </c>
      <c r="T17" s="254">
        <f ca="1">SUMIFS('Jul17-Jun18 Retail'!$H$5:$H$89,'Jul17-Jun18 Retail'!$D$5:$D$89,SBR!T$4,'Jul17-Jun18 Retail'!$E$5:$E$89,SBR!$A17)+SUMIFS('Jul17-Jun18 Retail'!$AG$5:$AG$89,'Jul17-Jun18 Retail'!$D$5:$D$89,SBR!T$4,'Jul17-Jun18 Retail'!$E$5:$E$89,SBR!$A17)</f>
        <v>4</v>
      </c>
      <c r="U17" s="254">
        <f ca="1">SUMIFS('Jul17-Jun18 Retail'!$H$5:$H$89,'Jul17-Jun18 Retail'!$D$5:$D$89,SBR!U$4,'Jul17-Jun18 Retail'!$E$5:$E$89,SBR!$A17)+SUMIFS('Jul17-Jun18 Retail'!$AG$5:$AG$89,'Jul17-Jun18 Retail'!$D$5:$D$89,SBR!U$4,'Jul17-Jun18 Retail'!$E$5:$E$89,SBR!$A17)</f>
        <v>4</v>
      </c>
      <c r="V17" s="254">
        <f ca="1">SUMIFS('Jul17-Jun18 Retail'!$H$5:$H$89,'Jul17-Jun18 Retail'!$D$5:$D$89,SBR!V$4,'Jul17-Jun18 Retail'!$E$5:$E$89,SBR!$A17)+SUMIFS('Jul17-Jun18 Retail'!$AG$5:$AG$89,'Jul17-Jun18 Retail'!$D$5:$D$89,SBR!V$4,'Jul17-Jun18 Retail'!$E$5:$E$89,SBR!$A17)</f>
        <v>4</v>
      </c>
      <c r="W17" s="254">
        <f ca="1">SUMIFS('Jul17-Jun18 Retail'!$H$5:$H$89,'Jul17-Jun18 Retail'!$D$5:$D$89,SBR!W$4,'Jul17-Jun18 Retail'!$E$5:$E$89,SBR!$A17)+SUMIFS('Jul17-Jun18 Retail'!$AG$5:$AG$89,'Jul17-Jun18 Retail'!$D$5:$D$89,SBR!W$4,'Jul17-Jun18 Retail'!$E$5:$E$89,SBR!$A17)</f>
        <v>4</v>
      </c>
      <c r="X17" s="254">
        <f ca="1">SUMIFS('Jul17-Jun18 Retail'!$H$5:$H$89,'Jul17-Jun18 Retail'!$D$5:$D$89,SBR!X$4,'Jul17-Jun18 Retail'!$E$5:$E$89,SBR!$A17)+SUMIFS('Jul17-Jun18 Retail'!$AG$5:$AG$89,'Jul17-Jun18 Retail'!$D$5:$D$89,SBR!X$4,'Jul17-Jun18 Retail'!$E$5:$E$89,SBR!$A17)</f>
        <v>4</v>
      </c>
      <c r="Y17" s="254">
        <f ca="1">SUMIFS('Jul17-Jun18 Retail'!$H$5:$H$89,'Jul17-Jun18 Retail'!$D$5:$D$89,SBR!Y$4,'Jul17-Jun18 Retail'!$E$5:$E$89,SBR!$A17)+SUMIFS('Jul17-Jun18 Retail'!$AG$5:$AG$89,'Jul17-Jun18 Retail'!$D$5:$D$89,SBR!Y$4,'Jul17-Jun18 Retail'!$E$5:$E$89,SBR!$A17)</f>
        <v>4</v>
      </c>
      <c r="Z17" s="254">
        <f ca="1">SUMIFS('Jul17-Jun18 Retail'!$H$5:$H$89,'Jul17-Jun18 Retail'!$D$5:$D$89,SBR!Z$4,'Jul17-Jun18 Retail'!$E$5:$E$89,SBR!$A17)+SUMIFS('Jul17-Jun18 Retail'!$AG$5:$AG$89,'Jul17-Jun18 Retail'!$D$5:$D$89,SBR!Z$4,'Jul17-Jun18 Retail'!$E$5:$E$89,SBR!$A17)</f>
        <v>4</v>
      </c>
      <c r="AA17" s="144">
        <f>(SUMIFS('Jul17-Jun18 Retail'!$K$5:$K$173,'Jul17-Jun18 Retail'!$D$5:$D$173,SBR!AA$4,'Jul17-Jun18 Retail'!$E$5:$E$173,SBR!$A17)+SUMIFS('Jul17-Jun18 Retail'!$L$5:$L$173,'Jul17-Jun18 Retail'!$D$5:$D$173,SBR!AA$4,'Jul17-Jun18 Retail'!$E$5:$E$173,SBR!$A17))*0.1</f>
        <v>11212.802066129712</v>
      </c>
      <c r="AB17" s="144">
        <f>(SUMIFS('Jul17-Jun18 Retail'!$K$5:$K$173,'Jul17-Jun18 Retail'!$D$5:$D$173,SBR!AB$4,'Jul17-Jun18 Retail'!$E$5:$E$173,SBR!$A17)+SUMIFS('Jul17-Jun18 Retail'!$L$5:$L$173,'Jul17-Jun18 Retail'!$D$5:$D$173,SBR!AB$4,'Jul17-Jun18 Retail'!$E$5:$E$173,SBR!$A17))*0.1</f>
        <v>10996.878568188769</v>
      </c>
      <c r="AC17" s="144">
        <f>(SUMIFS('Jul17-Jun18 Retail'!$K$5:$K$173,'Jul17-Jun18 Retail'!$D$5:$D$173,SBR!AC$4,'Jul17-Jun18 Retail'!$E$5:$E$173,SBR!$A17)+SUMIFS('Jul17-Jun18 Retail'!$L$5:$L$173,'Jul17-Jun18 Retail'!$D$5:$D$173,SBR!AC$4,'Jul17-Jun18 Retail'!$E$5:$E$173,SBR!$A17))*0.1</f>
        <v>11233.635961047115</v>
      </c>
      <c r="AD17" s="144">
        <f>(SUMIFS('Jul17-Jun18 Retail'!$K$5:$K$173,'Jul17-Jun18 Retail'!$D$5:$D$173,SBR!AD$4,'Jul17-Jun18 Retail'!$E$5:$E$173,SBR!$A17)+SUMIFS('Jul17-Jun18 Retail'!$L$5:$L$173,'Jul17-Jun18 Retail'!$D$5:$D$173,SBR!AD$4,'Jul17-Jun18 Retail'!$E$5:$E$173,SBR!$A17))*0.1</f>
        <v>17414.363126225155</v>
      </c>
      <c r="AE17" s="144">
        <f>(SUMIFS('Jul17-Jun18 Retail'!$K$5:$K$173,'Jul17-Jun18 Retail'!$D$5:$D$173,SBR!AE$4,'Jul17-Jun18 Retail'!$E$5:$E$173,SBR!$A17)+SUMIFS('Jul17-Jun18 Retail'!$L$5:$L$173,'Jul17-Jun18 Retail'!$D$5:$D$173,SBR!AE$4,'Jul17-Jun18 Retail'!$E$5:$E$173,SBR!$A17))*0.1</f>
        <v>13101.131347314804</v>
      </c>
      <c r="AF17" s="144">
        <f>(SUMIFS('Jul17-Jun18 Retail'!$K$5:$K$173,'Jul17-Jun18 Retail'!$D$5:$D$173,SBR!AF$4,'Jul17-Jun18 Retail'!$E$5:$E$173,SBR!$A17)+SUMIFS('Jul17-Jun18 Retail'!$L$5:$L$173,'Jul17-Jun18 Retail'!$D$5:$D$173,SBR!AF$4,'Jul17-Jun18 Retail'!$E$5:$E$173,SBR!$A17))*0.1</f>
        <v>11697.322792824853</v>
      </c>
      <c r="AG17" s="144">
        <f>(SUMIFS('Jul17-Jun18 Retail'!$K$5:$K$90,'Jul17-Jun18 Retail'!$D$5:$D$90,SBR!AG$4,'Jul17-Jun18 Retail'!$E$5:$E$90,SBR!$A17)+SUMIFS('Jul17-Jun18 Retail'!$L$5:$L$90,'Jul17-Jun18 Retail'!$D$5:$D$90,SBR!AG$4,'Jul17-Jun18 Retail'!$E$5:$E$90,SBR!$A17))*0.1</f>
        <v>11149.993183389173</v>
      </c>
      <c r="AH17" s="144">
        <f>(SUMIFS('Jul17-Jun18 Retail'!$K$5:$K$90,'Jul17-Jun18 Retail'!$D$5:$D$90,SBR!AH$4,'Jul17-Jun18 Retail'!$E$5:$E$90,SBR!$A17)+SUMIFS('Jul17-Jun18 Retail'!$L$5:$L$90,'Jul17-Jun18 Retail'!$D$5:$D$90,SBR!AH$4,'Jul17-Jun18 Retail'!$E$5:$E$90,SBR!$A17))*0.1</f>
        <v>9312.7215924835309</v>
      </c>
      <c r="AI17" s="144">
        <f>(SUMIFS('Jul17-Jun18 Retail'!$K$5:$K$90,'Jul17-Jun18 Retail'!$D$5:$D$90,SBR!AI$4,'Jul17-Jun18 Retail'!$E$5:$E$90,SBR!$A17)+SUMIFS('Jul17-Jun18 Retail'!$L$5:$L$90,'Jul17-Jun18 Retail'!$D$5:$D$90,SBR!AI$4,'Jul17-Jun18 Retail'!$E$5:$E$90,SBR!$A17))*0.1</f>
        <v>7178.3327891545632</v>
      </c>
      <c r="AJ17" s="144">
        <f>(SUMIFS('Jul17-Jun18 Retail'!$K$5:$K$90,'Jul17-Jun18 Retail'!$D$5:$D$90,SBR!AJ$4,'Jul17-Jun18 Retail'!$E$5:$E$90,SBR!$A17)+SUMIFS('Jul17-Jun18 Retail'!$L$5:$L$90,'Jul17-Jun18 Retail'!$D$5:$D$90,SBR!AJ$4,'Jul17-Jun18 Retail'!$E$5:$E$90,SBR!$A17))*0.1</f>
        <v>7491.9284577140616</v>
      </c>
      <c r="AK17" s="144">
        <f>(SUMIFS('Jul17-Jun18 Retail'!$K$5:$K$90,'Jul17-Jun18 Retail'!$D$5:$D$90,SBR!AK$4,'Jul17-Jun18 Retail'!$E$5:$E$90,SBR!$A17)+SUMIFS('Jul17-Jun18 Retail'!$L$5:$L$90,'Jul17-Jun18 Retail'!$D$5:$D$90,SBR!AK$4,'Jul17-Jun18 Retail'!$E$5:$E$90,SBR!$A17))*0.1</f>
        <v>8266.0085769953712</v>
      </c>
      <c r="AL17" s="144">
        <f>(SUMIFS('Jul17-Jun18 Retail'!$K$5:$K$90,'Jul17-Jun18 Retail'!$D$5:$D$90,SBR!AL$4,'Jul17-Jun18 Retail'!$E$5:$E$90,SBR!$A17)+SUMIFS('Jul17-Jun18 Retail'!$L$5:$L$90,'Jul17-Jun18 Retail'!$D$5:$D$90,SBR!AL$4,'Jul17-Jun18 Retail'!$E$5:$E$90,SBR!$A17))*0.1</f>
        <v>9378.261762994809</v>
      </c>
      <c r="AM17" s="145">
        <f ca="1">SUMIFS('Jul17-Jun18 Retail'!$AZ$5:$AZ$90,'Jul17-Jun18 Retail'!$D$5:$D$90,SBR!AM$4,'Jul17-Jun18 Retail'!$E$5:$E$90,SBR!$A17)</f>
        <v>66991.17</v>
      </c>
      <c r="AN17" s="145">
        <f ca="1">SUMIFS('Jul17-Jun18 Retail'!$AZ$5:$AZ$90,'Jul17-Jun18 Retail'!$D$5:$D$90,SBR!AN$4,'Jul17-Jun18 Retail'!$E$5:$E$90,SBR!$A17)</f>
        <v>63571.98</v>
      </c>
      <c r="AO17" s="145">
        <f ca="1">SUMIFS('Jul17-Jun18 Retail'!$AZ$5:$AZ$90,'Jul17-Jun18 Retail'!$D$5:$D$90,SBR!AO$4,'Jul17-Jun18 Retail'!$E$5:$E$90,SBR!$A17)</f>
        <v>63503.62</v>
      </c>
      <c r="AP17" s="145">
        <f ca="1">SUMIFS('Jul17-Jun18 Retail'!$AZ$5:$AZ$90,'Jul17-Jun18 Retail'!$D$5:$D$90,SBR!AP$4,'Jul17-Jun18 Retail'!$E$5:$E$90,SBR!$A17)</f>
        <v>74742.06</v>
      </c>
      <c r="AQ17" s="145">
        <f ca="1">SUMIFS('Jul17-Jun18 Retail'!$AZ$5:$AZ$90,'Jul17-Jun18 Retail'!$D$5:$D$90,SBR!AQ$4,'Jul17-Jun18 Retail'!$E$5:$E$90,SBR!$A17)</f>
        <v>71558.320000000007</v>
      </c>
      <c r="AR17" s="145">
        <f ca="1">SUMIFS('Jul17-Jun18 Retail'!$AZ$5:$AZ$90,'Jul17-Jun18 Retail'!$D$5:$D$90,SBR!AR$4,'Jul17-Jun18 Retail'!$E$5:$E$90,SBR!$A17)</f>
        <v>69574.740000000005</v>
      </c>
      <c r="AS17" s="145">
        <f ca="1">SUMIFS('Jul17-Jun18 Retail'!$AZ$5:$AZ$90,'Jul17-Jun18 Retail'!$D$5:$D$90,SBR!AS$4,'Jul17-Jun18 Retail'!$E$5:$E$90,SBR!$A17)</f>
        <v>75144.47</v>
      </c>
      <c r="AT17" s="145">
        <f ca="1">SUMIFS('Jul17-Jun18 Retail'!$AZ$5:$AZ$90,'Jul17-Jun18 Retail'!$D$5:$D$90,SBR!AT$4,'Jul17-Jun18 Retail'!$E$5:$E$90,SBR!$A17)</f>
        <v>70104.570000000007</v>
      </c>
      <c r="AU17" s="145">
        <f ca="1">SUMIFS('Jul17-Jun18 Retail'!$AZ$5:$AZ$90,'Jul17-Jun18 Retail'!$D$5:$D$90,SBR!AU$4,'Jul17-Jun18 Retail'!$E$5:$E$90,SBR!$A17)</f>
        <v>61692.3</v>
      </c>
      <c r="AV17" s="145">
        <f ca="1">SUMIFS('Jul17-Jun18 Retail'!$AZ$5:$AZ$90,'Jul17-Jun18 Retail'!$D$5:$D$90,SBR!AV$4,'Jul17-Jun18 Retail'!$E$5:$E$90,SBR!$A17)</f>
        <v>65723.13</v>
      </c>
      <c r="AW17" s="145">
        <f ca="1">SUMIFS('Jul17-Jun18 Retail'!$AZ$5:$AZ$90,'Jul17-Jun18 Retail'!$D$5:$D$90,SBR!AW$4,'Jul17-Jun18 Retail'!$E$5:$E$90,SBR!$A17)</f>
        <v>69872.460000000006</v>
      </c>
      <c r="AX17" s="145">
        <f ca="1">SUMIFS('Jul17-Jun18 Retail'!$AZ$5:$AZ$90,'Jul17-Jun18 Retail'!$D$5:$D$90,SBR!AX$4,'Jul17-Jun18 Retail'!$E$5:$E$90,SBR!$A17)</f>
        <v>66153.62</v>
      </c>
      <c r="AY17" s="128"/>
      <c r="AZ17" s="128"/>
    </row>
    <row r="18" spans="1:60" x14ac:dyDescent="0.25">
      <c r="A18" s="185" t="s">
        <v>9</v>
      </c>
      <c r="B18" s="147" t="s">
        <v>296</v>
      </c>
      <c r="C18" s="164">
        <f t="shared" ref="C18:C19" ca="1" si="18">SUM(O18:Z18)</f>
        <v>0</v>
      </c>
      <c r="D18" s="165">
        <f t="shared" si="12"/>
        <v>0</v>
      </c>
      <c r="E18" s="164">
        <f t="shared" ca="1" si="5"/>
        <v>0</v>
      </c>
      <c r="F18" s="131"/>
      <c r="G18" s="123">
        <f t="shared" ca="1" si="14"/>
        <v>0</v>
      </c>
      <c r="H18" s="124">
        <f t="shared" si="13"/>
        <v>0</v>
      </c>
      <c r="I18" s="123">
        <f t="shared" ca="1" si="6"/>
        <v>0</v>
      </c>
      <c r="J18" s="131"/>
      <c r="K18" s="123">
        <f t="shared" ca="1" si="7"/>
        <v>0</v>
      </c>
      <c r="L18" s="124">
        <f t="shared" si="8"/>
        <v>0</v>
      </c>
      <c r="M18" s="123">
        <f t="shared" ca="1" si="9"/>
        <v>0</v>
      </c>
      <c r="O18" s="132">
        <f ca="1">SUMIFS('Jul17-Jun18 Retail'!$H$5:$H$89,'Jul17-Jun18 Retail'!$D$5:$D$89,SBR!O$4,'Jul17-Jun18 Retail'!$E$5:$E$89,SBR!$A18)+SUMIFS('Jul17-Jun18 Retail'!$AG$5:$AG$89,'Jul17-Jun18 Retail'!$D$5:$D$89,SBR!O$4,'Jul17-Jun18 Retail'!$E$5:$E$89,SBR!$A18)</f>
        <v>0</v>
      </c>
      <c r="P18" s="132">
        <f ca="1">SUMIFS('Jul17-Jun18 Retail'!$H$5:$H$89,'Jul17-Jun18 Retail'!$D$5:$D$89,SBR!P$4,'Jul17-Jun18 Retail'!$E$5:$E$89,SBR!$A18)+SUMIFS('Jul17-Jun18 Retail'!$AG$5:$AG$89,'Jul17-Jun18 Retail'!$D$5:$D$89,SBR!P$4,'Jul17-Jun18 Retail'!$E$5:$E$89,SBR!$A18)</f>
        <v>0</v>
      </c>
      <c r="Q18" s="132">
        <f ca="1">SUMIFS('Jul17-Jun18 Retail'!$H$5:$H$89,'Jul17-Jun18 Retail'!$D$5:$D$89,SBR!Q$4,'Jul17-Jun18 Retail'!$E$5:$E$89,SBR!$A18)+SUMIFS('Jul17-Jun18 Retail'!$AG$5:$AG$89,'Jul17-Jun18 Retail'!$D$5:$D$89,SBR!Q$4,'Jul17-Jun18 Retail'!$E$5:$E$89,SBR!$A18)</f>
        <v>0</v>
      </c>
      <c r="R18" s="132">
        <f ca="1">SUMIFS('Jul17-Jun18 Retail'!$H$5:$H$89,'Jul17-Jun18 Retail'!$D$5:$D$89,SBR!R$4,'Jul17-Jun18 Retail'!$E$5:$E$89,SBR!$A18)+SUMIFS('Jul17-Jun18 Retail'!$AG$5:$AG$89,'Jul17-Jun18 Retail'!$D$5:$D$89,SBR!R$4,'Jul17-Jun18 Retail'!$E$5:$E$89,SBR!$A18)</f>
        <v>0</v>
      </c>
      <c r="S18" s="132">
        <f ca="1">SUMIFS('Jul17-Jun18 Retail'!$H$5:$H$89,'Jul17-Jun18 Retail'!$D$5:$D$89,SBR!S$4,'Jul17-Jun18 Retail'!$E$5:$E$89,SBR!$A18)+SUMIFS('Jul17-Jun18 Retail'!$AG$5:$AG$89,'Jul17-Jun18 Retail'!$D$5:$D$89,SBR!S$4,'Jul17-Jun18 Retail'!$E$5:$E$89,SBR!$A18)</f>
        <v>0</v>
      </c>
      <c r="T18" s="132">
        <f ca="1">SUMIFS('Jul17-Jun18 Retail'!$H$5:$H$89,'Jul17-Jun18 Retail'!$D$5:$D$89,SBR!T$4,'Jul17-Jun18 Retail'!$E$5:$E$89,SBR!$A18)+SUMIFS('Jul17-Jun18 Retail'!$AG$5:$AG$89,'Jul17-Jun18 Retail'!$D$5:$D$89,SBR!T$4,'Jul17-Jun18 Retail'!$E$5:$E$89,SBR!$A18)</f>
        <v>0</v>
      </c>
      <c r="U18" s="132">
        <f ca="1">SUMIFS('Jul17-Jun18 Retail'!$H$5:$H$89,'Jul17-Jun18 Retail'!$D$5:$D$89,SBR!U$4,'Jul17-Jun18 Retail'!$E$5:$E$89,SBR!$A18)+SUMIFS('Jul17-Jun18 Retail'!$AG$5:$AG$89,'Jul17-Jun18 Retail'!$D$5:$D$89,SBR!U$4,'Jul17-Jun18 Retail'!$E$5:$E$89,SBR!$A18)</f>
        <v>0</v>
      </c>
      <c r="V18" s="132">
        <f ca="1">SUMIFS('Jul17-Jun18 Retail'!$H$5:$H$89,'Jul17-Jun18 Retail'!$D$5:$D$89,SBR!V$4,'Jul17-Jun18 Retail'!$E$5:$E$89,SBR!$A18)+SUMIFS('Jul17-Jun18 Retail'!$AG$5:$AG$89,'Jul17-Jun18 Retail'!$D$5:$D$89,SBR!V$4,'Jul17-Jun18 Retail'!$E$5:$E$89,SBR!$A18)</f>
        <v>0</v>
      </c>
      <c r="W18" s="132">
        <f ca="1">SUMIFS('Jul17-Jun18 Retail'!$H$5:$H$89,'Jul17-Jun18 Retail'!$D$5:$D$89,SBR!W$4,'Jul17-Jun18 Retail'!$E$5:$E$89,SBR!$A18)+SUMIFS('Jul17-Jun18 Retail'!$AG$5:$AG$89,'Jul17-Jun18 Retail'!$D$5:$D$89,SBR!W$4,'Jul17-Jun18 Retail'!$E$5:$E$89,SBR!$A18)</f>
        <v>0</v>
      </c>
      <c r="X18" s="132">
        <f ca="1">SUMIFS('Jul17-Jun18 Retail'!$H$5:$H$89,'Jul17-Jun18 Retail'!$D$5:$D$89,SBR!X$4,'Jul17-Jun18 Retail'!$E$5:$E$89,SBR!$A18)+SUMIFS('Jul17-Jun18 Retail'!$AG$5:$AG$89,'Jul17-Jun18 Retail'!$D$5:$D$89,SBR!X$4,'Jul17-Jun18 Retail'!$E$5:$E$89,SBR!$A18)</f>
        <v>0</v>
      </c>
      <c r="Y18" s="132">
        <f ca="1">SUMIFS('Jul17-Jun18 Retail'!$H$5:$H$89,'Jul17-Jun18 Retail'!$D$5:$D$89,SBR!Y$4,'Jul17-Jun18 Retail'!$E$5:$E$89,SBR!$A18)+SUMIFS('Jul17-Jun18 Retail'!$AG$5:$AG$89,'Jul17-Jun18 Retail'!$D$5:$D$89,SBR!Y$4,'Jul17-Jun18 Retail'!$E$5:$E$89,SBR!$A18)</f>
        <v>0</v>
      </c>
      <c r="Z18" s="132">
        <f ca="1">SUMIFS('Jul17-Jun18 Retail'!$H$5:$H$89,'Jul17-Jun18 Retail'!$D$5:$D$89,SBR!Z$4,'Jul17-Jun18 Retail'!$E$5:$E$89,SBR!$A18)+SUMIFS('Jul17-Jun18 Retail'!$AG$5:$AG$89,'Jul17-Jun18 Retail'!$D$5:$D$89,SBR!Z$4,'Jul17-Jun18 Retail'!$E$5:$E$89,SBR!$A18)</f>
        <v>0</v>
      </c>
      <c r="AA18" s="133">
        <f>(SUMIFS('Jul17-Jun18 Retail'!$K$5:$K$173,'Jul17-Jun18 Retail'!$D$5:$D$173,SBR!AA$4,'Jul17-Jun18 Retail'!$E$5:$E$173,SBR!$A18)+SUMIFS('Jul17-Jun18 Retail'!$L$5:$L$173,'Jul17-Jun18 Retail'!$D$5:$D$173,SBR!AA$4,'Jul17-Jun18 Retail'!$E$5:$E$173,SBR!$A18))*0.1</f>
        <v>0</v>
      </c>
      <c r="AB18" s="133">
        <f>(SUMIFS('Jul17-Jun18 Retail'!$K$5:$K$173,'Jul17-Jun18 Retail'!$D$5:$D$173,SBR!AB$4,'Jul17-Jun18 Retail'!$E$5:$E$173,SBR!$A18)+SUMIFS('Jul17-Jun18 Retail'!$L$5:$L$173,'Jul17-Jun18 Retail'!$D$5:$D$173,SBR!AB$4,'Jul17-Jun18 Retail'!$E$5:$E$173,SBR!$A18))*0.1</f>
        <v>0</v>
      </c>
      <c r="AC18" s="133">
        <f>(SUMIFS('Jul17-Jun18 Retail'!$K$5:$K$173,'Jul17-Jun18 Retail'!$D$5:$D$173,SBR!AC$4,'Jul17-Jun18 Retail'!$E$5:$E$173,SBR!$A18)+SUMIFS('Jul17-Jun18 Retail'!$L$5:$L$173,'Jul17-Jun18 Retail'!$D$5:$D$173,SBR!AC$4,'Jul17-Jun18 Retail'!$E$5:$E$173,SBR!$A18))*0.1</f>
        <v>0</v>
      </c>
      <c r="AD18" s="133">
        <f>(SUMIFS('Jul17-Jun18 Retail'!$K$5:$K$173,'Jul17-Jun18 Retail'!$D$5:$D$173,SBR!AD$4,'Jul17-Jun18 Retail'!$E$5:$E$173,SBR!$A18)+SUMIFS('Jul17-Jun18 Retail'!$L$5:$L$173,'Jul17-Jun18 Retail'!$D$5:$D$173,SBR!AD$4,'Jul17-Jun18 Retail'!$E$5:$E$173,SBR!$A18))*0.1</f>
        <v>0</v>
      </c>
      <c r="AE18" s="133">
        <f>(SUMIFS('Jul17-Jun18 Retail'!$K$5:$K$173,'Jul17-Jun18 Retail'!$D$5:$D$173,SBR!AE$4,'Jul17-Jun18 Retail'!$E$5:$E$173,SBR!$A18)+SUMIFS('Jul17-Jun18 Retail'!$L$5:$L$173,'Jul17-Jun18 Retail'!$D$5:$D$173,SBR!AE$4,'Jul17-Jun18 Retail'!$E$5:$E$173,SBR!$A18))*0.1</f>
        <v>0</v>
      </c>
      <c r="AF18" s="133">
        <f>(SUMIFS('Jul17-Jun18 Retail'!$K$5:$K$173,'Jul17-Jun18 Retail'!$D$5:$D$173,SBR!AF$4,'Jul17-Jun18 Retail'!$E$5:$E$173,SBR!$A18)+SUMIFS('Jul17-Jun18 Retail'!$L$5:$L$173,'Jul17-Jun18 Retail'!$D$5:$D$173,SBR!AF$4,'Jul17-Jun18 Retail'!$E$5:$E$173,SBR!$A18))*0.1</f>
        <v>0</v>
      </c>
      <c r="AG18" s="133">
        <f>(SUMIFS('Jul17-Jun18 Retail'!$K$5:$K$173,'Jul17-Jun18 Retail'!$D$5:$D$173,SBR!AG$4,'Jul17-Jun18 Retail'!$E$5:$E$173,SBR!$A18)+SUMIFS('Jul17-Jun18 Retail'!$L$5:$L$173,'Jul17-Jun18 Retail'!$D$5:$D$173,SBR!AG$4,'Jul17-Jun18 Retail'!$E$5:$E$173,SBR!$A18))*0.1</f>
        <v>0</v>
      </c>
      <c r="AH18" s="133">
        <f>(SUMIFS('Jul17-Jun18 Retail'!$K$5:$K$173,'Jul17-Jun18 Retail'!$D$5:$D$173,SBR!AH$4,'Jul17-Jun18 Retail'!$E$5:$E$173,SBR!$A18)+SUMIFS('Jul17-Jun18 Retail'!$L$5:$L$173,'Jul17-Jun18 Retail'!$D$5:$D$173,SBR!AH$4,'Jul17-Jun18 Retail'!$E$5:$E$173,SBR!$A18))*0.1</f>
        <v>0</v>
      </c>
      <c r="AI18" s="133">
        <f>(SUMIFS('Jul17-Jun18 Retail'!$K$5:$K$173,'Jul17-Jun18 Retail'!$D$5:$D$173,SBR!AI$4,'Jul17-Jun18 Retail'!$E$5:$E$173,SBR!$A18)+SUMIFS('Jul17-Jun18 Retail'!$L$5:$L$173,'Jul17-Jun18 Retail'!$D$5:$D$173,SBR!AI$4,'Jul17-Jun18 Retail'!$E$5:$E$173,SBR!$A18))*0.1</f>
        <v>0</v>
      </c>
      <c r="AJ18" s="133">
        <f>(SUMIFS('Jul17-Jun18 Retail'!$K$5:$K$173,'Jul17-Jun18 Retail'!$D$5:$D$173,SBR!AJ$4,'Jul17-Jun18 Retail'!$E$5:$E$173,SBR!$A18)+SUMIFS('Jul17-Jun18 Retail'!$L$5:$L$173,'Jul17-Jun18 Retail'!$D$5:$D$173,SBR!AJ$4,'Jul17-Jun18 Retail'!$E$5:$E$173,SBR!$A18))*0.1</f>
        <v>0</v>
      </c>
      <c r="AK18" s="133">
        <f>(SUMIFS('Jul17-Jun18 Retail'!$K$5:$K$173,'Jul17-Jun18 Retail'!$D$5:$D$173,SBR!AK$4,'Jul17-Jun18 Retail'!$E$5:$E$173,SBR!$A18)+SUMIFS('Jul17-Jun18 Retail'!$L$5:$L$173,'Jul17-Jun18 Retail'!$D$5:$D$173,SBR!AK$4,'Jul17-Jun18 Retail'!$E$5:$E$173,SBR!$A18))*0.1</f>
        <v>0</v>
      </c>
      <c r="AL18" s="133">
        <f>(SUMIFS('Jul17-Jun18 Retail'!$K$5:$K$173,'Jul17-Jun18 Retail'!$D$5:$D$173,SBR!AL$4,'Jul17-Jun18 Retail'!$E$5:$E$173,SBR!$A18)+SUMIFS('Jul17-Jun18 Retail'!$L$5:$L$173,'Jul17-Jun18 Retail'!$D$5:$D$173,SBR!AL$4,'Jul17-Jun18 Retail'!$E$5:$E$173,SBR!$A18))*0.1</f>
        <v>0</v>
      </c>
      <c r="AM18" s="134">
        <f ca="1">SUMIFS('Jul17-Jun18 Retail'!$AZ$5:$AZ$90,'Jul17-Jun18 Retail'!$D$5:$D$90,SBR!AM$4,'Jul17-Jun18 Retail'!$E$5:$E$90,SBR!$A18)</f>
        <v>0</v>
      </c>
      <c r="AN18" s="134">
        <f ca="1">SUMIFS('Jul17-Jun18 Retail'!$AZ$5:$AZ$90,'Jul17-Jun18 Retail'!$D$5:$D$90,SBR!AN$4,'Jul17-Jun18 Retail'!$E$5:$E$90,SBR!$A18)</f>
        <v>0</v>
      </c>
      <c r="AO18" s="134">
        <f ca="1">SUMIFS('Jul17-Jun18 Retail'!$AZ$5:$AZ$90,'Jul17-Jun18 Retail'!$D$5:$D$90,SBR!AO$4,'Jul17-Jun18 Retail'!$E$5:$E$90,SBR!$A18)</f>
        <v>0</v>
      </c>
      <c r="AP18" s="134">
        <f ca="1">SUMIFS('Jul17-Jun18 Retail'!$AZ$5:$AZ$90,'Jul17-Jun18 Retail'!$D$5:$D$90,SBR!AP$4,'Jul17-Jun18 Retail'!$E$5:$E$90,SBR!$A18)</f>
        <v>0</v>
      </c>
      <c r="AQ18" s="134">
        <f ca="1">SUMIFS('Jul17-Jun18 Retail'!$AZ$5:$AZ$90,'Jul17-Jun18 Retail'!$D$5:$D$90,SBR!AQ$4,'Jul17-Jun18 Retail'!$E$5:$E$90,SBR!$A18)</f>
        <v>0</v>
      </c>
      <c r="AR18" s="134">
        <f ca="1">SUMIFS('Jul17-Jun18 Retail'!$AZ$5:$AZ$90,'Jul17-Jun18 Retail'!$D$5:$D$90,SBR!AR$4,'Jul17-Jun18 Retail'!$E$5:$E$90,SBR!$A18)</f>
        <v>0</v>
      </c>
      <c r="AS18" s="134">
        <f ca="1">SUMIFS('Jul17-Jun18 Retail'!$AZ$5:$AZ$90,'Jul17-Jun18 Retail'!$D$5:$D$90,SBR!AS$4,'Jul17-Jun18 Retail'!$E$5:$E$90,SBR!$A18)</f>
        <v>0</v>
      </c>
      <c r="AT18" s="134">
        <f ca="1">SUMIFS('Jul17-Jun18 Retail'!$AZ$5:$AZ$90,'Jul17-Jun18 Retail'!$D$5:$D$90,SBR!AT$4,'Jul17-Jun18 Retail'!$E$5:$E$90,SBR!$A18)</f>
        <v>0</v>
      </c>
      <c r="AU18" s="134">
        <f ca="1">SUMIFS('Jul17-Jun18 Retail'!$AZ$5:$AZ$90,'Jul17-Jun18 Retail'!$D$5:$D$90,SBR!AU$4,'Jul17-Jun18 Retail'!$E$5:$E$90,SBR!$A18)</f>
        <v>0</v>
      </c>
      <c r="AV18" s="134">
        <f ca="1">SUMIFS('Jul17-Jun18 Retail'!$AZ$5:$AZ$90,'Jul17-Jun18 Retail'!$D$5:$D$90,SBR!AV$4,'Jul17-Jun18 Retail'!$E$5:$E$90,SBR!$A18)</f>
        <v>0</v>
      </c>
      <c r="AW18" s="134">
        <f ca="1">SUMIFS('Jul17-Jun18 Retail'!$AZ$5:$AZ$90,'Jul17-Jun18 Retail'!$D$5:$D$90,SBR!AW$4,'Jul17-Jun18 Retail'!$E$5:$E$90,SBR!$A18)</f>
        <v>0</v>
      </c>
      <c r="AX18" s="134">
        <f ca="1">SUMIFS('Jul17-Jun18 Retail'!$AZ$5:$AZ$90,'Jul17-Jun18 Retail'!$D$5:$D$90,SBR!AX$4,'Jul17-Jun18 Retail'!$E$5:$E$90,SBR!$A18)</f>
        <v>0</v>
      </c>
      <c r="AY18" s="128"/>
      <c r="AZ18" s="128"/>
    </row>
    <row r="19" spans="1:60" x14ac:dyDescent="0.25">
      <c r="A19" s="185"/>
      <c r="B19" s="148" t="s">
        <v>304</v>
      </c>
      <c r="C19" s="151">
        <f t="shared" ca="1" si="18"/>
        <v>48</v>
      </c>
      <c r="D19" s="162">
        <f t="shared" si="12"/>
        <v>128433.38022446193</v>
      </c>
      <c r="E19" s="151">
        <f t="shared" ca="1" si="5"/>
        <v>818632.44</v>
      </c>
      <c r="F19" s="131"/>
      <c r="G19" s="123">
        <f t="shared" ca="1" si="14"/>
        <v>20</v>
      </c>
      <c r="H19" s="124">
        <f t="shared" si="13"/>
        <v>43527.333652988513</v>
      </c>
      <c r="I19" s="123">
        <f t="shared" ca="1" si="6"/>
        <v>330432.68</v>
      </c>
      <c r="J19" s="131"/>
      <c r="K19" s="123">
        <f t="shared" ca="1" si="7"/>
        <v>28</v>
      </c>
      <c r="L19" s="124">
        <f t="shared" si="8"/>
        <v>84906.046571473402</v>
      </c>
      <c r="M19" s="123">
        <f t="shared" ca="1" si="9"/>
        <v>488199.75999999995</v>
      </c>
      <c r="O19" s="136">
        <f t="shared" ref="O19:AX19" ca="1" si="19">SUM(O17:O18)</f>
        <v>4</v>
      </c>
      <c r="P19" s="136">
        <f t="shared" ca="1" si="19"/>
        <v>4</v>
      </c>
      <c r="Q19" s="136">
        <f t="shared" ca="1" si="19"/>
        <v>4</v>
      </c>
      <c r="R19" s="136">
        <f t="shared" ca="1" si="19"/>
        <v>4</v>
      </c>
      <c r="S19" s="136">
        <f t="shared" ca="1" si="19"/>
        <v>4</v>
      </c>
      <c r="T19" s="136">
        <f t="shared" ca="1" si="19"/>
        <v>4</v>
      </c>
      <c r="U19" s="136">
        <f t="shared" ca="1" si="19"/>
        <v>4</v>
      </c>
      <c r="V19" s="136">
        <f t="shared" ca="1" si="19"/>
        <v>4</v>
      </c>
      <c r="W19" s="136">
        <f t="shared" ca="1" si="19"/>
        <v>4</v>
      </c>
      <c r="X19" s="136">
        <f t="shared" ca="1" si="19"/>
        <v>4</v>
      </c>
      <c r="Y19" s="136">
        <f t="shared" ca="1" si="19"/>
        <v>4</v>
      </c>
      <c r="Z19" s="136">
        <f t="shared" ca="1" si="19"/>
        <v>4</v>
      </c>
      <c r="AA19" s="121">
        <f t="shared" si="19"/>
        <v>11212.802066129712</v>
      </c>
      <c r="AB19" s="121">
        <f t="shared" si="19"/>
        <v>10996.878568188769</v>
      </c>
      <c r="AC19" s="121">
        <f t="shared" si="19"/>
        <v>11233.635961047115</v>
      </c>
      <c r="AD19" s="121">
        <f t="shared" si="19"/>
        <v>17414.363126225155</v>
      </c>
      <c r="AE19" s="121">
        <f t="shared" si="19"/>
        <v>13101.131347314804</v>
      </c>
      <c r="AF19" s="121">
        <f t="shared" si="19"/>
        <v>11697.322792824853</v>
      </c>
      <c r="AG19" s="121">
        <f t="shared" si="19"/>
        <v>11149.993183389173</v>
      </c>
      <c r="AH19" s="121">
        <f t="shared" si="19"/>
        <v>9312.7215924835309</v>
      </c>
      <c r="AI19" s="121">
        <f t="shared" si="19"/>
        <v>7178.3327891545632</v>
      </c>
      <c r="AJ19" s="121">
        <f t="shared" si="19"/>
        <v>7491.9284577140616</v>
      </c>
      <c r="AK19" s="121">
        <f t="shared" si="19"/>
        <v>8266.0085769953712</v>
      </c>
      <c r="AL19" s="121">
        <f t="shared" si="19"/>
        <v>9378.261762994809</v>
      </c>
      <c r="AM19" s="137">
        <f t="shared" ca="1" si="19"/>
        <v>66991.17</v>
      </c>
      <c r="AN19" s="137">
        <f t="shared" ca="1" si="19"/>
        <v>63571.98</v>
      </c>
      <c r="AO19" s="137">
        <f t="shared" ca="1" si="19"/>
        <v>63503.62</v>
      </c>
      <c r="AP19" s="137">
        <f t="shared" ca="1" si="19"/>
        <v>74742.06</v>
      </c>
      <c r="AQ19" s="137">
        <f t="shared" ca="1" si="19"/>
        <v>71558.320000000007</v>
      </c>
      <c r="AR19" s="137">
        <f t="shared" ca="1" si="19"/>
        <v>69574.740000000005</v>
      </c>
      <c r="AS19" s="137">
        <f t="shared" ca="1" si="19"/>
        <v>75144.47</v>
      </c>
      <c r="AT19" s="137">
        <f t="shared" ca="1" si="19"/>
        <v>70104.570000000007</v>
      </c>
      <c r="AU19" s="137">
        <f t="shared" ca="1" si="19"/>
        <v>61692.3</v>
      </c>
      <c r="AV19" s="137">
        <f t="shared" ca="1" si="19"/>
        <v>65723.13</v>
      </c>
      <c r="AW19" s="137">
        <f t="shared" ca="1" si="19"/>
        <v>69872.460000000006</v>
      </c>
      <c r="AX19" s="137">
        <f t="shared" ca="1" si="19"/>
        <v>66153.62</v>
      </c>
      <c r="AY19" s="128"/>
      <c r="AZ19" s="128"/>
    </row>
    <row r="20" spans="1:60" x14ac:dyDescent="0.25">
      <c r="A20" s="185"/>
      <c r="B20" s="150"/>
      <c r="C20" s="57"/>
      <c r="D20" s="57"/>
      <c r="E20" s="57"/>
      <c r="F20" s="123"/>
      <c r="G20" s="123"/>
      <c r="H20" s="124"/>
      <c r="I20" s="123"/>
      <c r="J20" s="123"/>
      <c r="K20" s="123"/>
      <c r="L20" s="124"/>
      <c r="M20" s="123"/>
      <c r="O20" s="136"/>
      <c r="P20" s="136"/>
      <c r="Q20" s="136"/>
      <c r="R20" s="136"/>
      <c r="S20" s="136"/>
      <c r="T20" s="136"/>
      <c r="U20" s="152"/>
      <c r="V20" s="152"/>
      <c r="W20" s="152"/>
      <c r="X20" s="152"/>
      <c r="Y20" s="152"/>
      <c r="Z20" s="152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28"/>
      <c r="AZ20" s="128"/>
    </row>
    <row r="21" spans="1:60" x14ac:dyDescent="0.25">
      <c r="A21" s="185"/>
      <c r="B21" s="150"/>
      <c r="C21" s="151"/>
      <c r="D21" s="162"/>
      <c r="E21" s="151"/>
      <c r="F21" s="123"/>
      <c r="G21" s="123"/>
      <c r="H21" s="124"/>
      <c r="I21" s="123"/>
      <c r="J21" s="123"/>
      <c r="K21" s="123"/>
      <c r="L21" s="124"/>
      <c r="M21" s="123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/>
      <c r="AZ21" s="128"/>
    </row>
    <row r="22" spans="1:60" x14ac:dyDescent="0.25">
      <c r="A22" s="185"/>
      <c r="B22" s="150" t="s">
        <v>560</v>
      </c>
      <c r="C22" s="151">
        <f>SUM(O22:Z22)</f>
        <v>0</v>
      </c>
      <c r="D22" s="162">
        <f t="shared" ref="D22:D23" si="20">SUM(AA22:AL22)</f>
        <v>0</v>
      </c>
      <c r="E22" s="151">
        <f>SUM(AM22:AX22)</f>
        <v>0</v>
      </c>
      <c r="F22" s="123"/>
      <c r="G22" s="123">
        <f t="shared" ref="G22:G25" si="21">O22+W22+X22+Y22+Z22</f>
        <v>0</v>
      </c>
      <c r="H22" s="124">
        <f t="shared" ref="H22:H25" si="22">AA22+AI22+AJ22+AK22+AL22</f>
        <v>0</v>
      </c>
      <c r="I22" s="123">
        <f t="shared" ref="I22:I25" si="23">AM22+AU22+AV22+AW22+AX22</f>
        <v>0</v>
      </c>
      <c r="J22" s="123"/>
      <c r="K22" s="123">
        <f t="shared" ref="K22:K25" si="24">SUM(P22:V22)</f>
        <v>0</v>
      </c>
      <c r="L22" s="124">
        <f t="shared" ref="L22:L25" si="25">SUM(AB22:AH22)</f>
        <v>0</v>
      </c>
      <c r="M22" s="123">
        <f t="shared" ref="M22:M25" si="26">SUM(AN22:AT22)</f>
        <v>0</v>
      </c>
      <c r="O22" s="333"/>
      <c r="P22" s="333"/>
      <c r="Q22" s="146"/>
      <c r="R22" s="146"/>
      <c r="S22" s="146"/>
      <c r="T22" s="146"/>
      <c r="U22" s="335"/>
      <c r="V22" s="335"/>
      <c r="W22" s="335"/>
      <c r="X22" s="335"/>
      <c r="Y22" s="335"/>
      <c r="Z22" s="335"/>
      <c r="AA22" s="186"/>
      <c r="AB22" s="186"/>
      <c r="AC22" s="186"/>
      <c r="AD22" s="186"/>
      <c r="AE22" s="186"/>
      <c r="AF22" s="186"/>
      <c r="AG22" s="337"/>
      <c r="AH22" s="337"/>
      <c r="AI22" s="337"/>
      <c r="AJ22" s="337"/>
      <c r="AK22" s="337"/>
      <c r="AL22" s="337"/>
      <c r="AM22" s="134"/>
      <c r="AN22" s="134"/>
      <c r="AO22" s="134"/>
      <c r="AP22" s="134"/>
      <c r="AQ22" s="134"/>
      <c r="AR22" s="134"/>
      <c r="AS22" s="340"/>
      <c r="AT22" s="340"/>
      <c r="AU22" s="340"/>
      <c r="AV22" s="340"/>
      <c r="AW22" s="340"/>
      <c r="AX22" s="340"/>
      <c r="AY22"/>
      <c r="AZ22" s="128"/>
    </row>
    <row r="23" spans="1:60" x14ac:dyDescent="0.25">
      <c r="A23" s="185"/>
      <c r="B23" s="155" t="s">
        <v>561</v>
      </c>
      <c r="C23" s="151">
        <f ca="1">SUM(O23:Z23)</f>
        <v>3859069</v>
      </c>
      <c r="D23" s="162">
        <f t="shared" si="20"/>
        <v>31271474.424778864</v>
      </c>
      <c r="E23" s="151">
        <f t="shared" ref="E23:E24" ca="1" si="27">SUM(AM23:AX23)</f>
        <v>315902323.15999997</v>
      </c>
      <c r="G23" s="123">
        <f t="shared" ca="1" si="21"/>
        <v>1609536</v>
      </c>
      <c r="H23" s="124">
        <f t="shared" si="22"/>
        <v>8388407.2843391877</v>
      </c>
      <c r="I23" s="123">
        <f t="shared" ca="1" si="23"/>
        <v>105617269.13999999</v>
      </c>
      <c r="K23" s="123">
        <f t="shared" ca="1" si="24"/>
        <v>2249533</v>
      </c>
      <c r="L23" s="124">
        <f t="shared" si="25"/>
        <v>22883067.140439674</v>
      </c>
      <c r="M23" s="123">
        <f t="shared" ca="1" si="26"/>
        <v>210285054.02000001</v>
      </c>
      <c r="O23" s="156">
        <f t="shared" ref="O23:AA23" ca="1" si="28">O8+O12+O15+O19</f>
        <v>320513</v>
      </c>
      <c r="P23" s="156">
        <f t="shared" ca="1" si="28"/>
        <v>320454</v>
      </c>
      <c r="Q23" s="156">
        <f t="shared" ca="1" si="28"/>
        <v>320073</v>
      </c>
      <c r="R23" s="156">
        <f t="shared" ca="1" si="28"/>
        <v>320450</v>
      </c>
      <c r="S23" s="156">
        <f t="shared" ca="1" si="28"/>
        <v>320781</v>
      </c>
      <c r="T23" s="156">
        <f t="shared" ca="1" si="28"/>
        <v>322066</v>
      </c>
      <c r="U23" s="156">
        <f t="shared" ca="1" si="28"/>
        <v>322722</v>
      </c>
      <c r="V23" s="156">
        <f t="shared" ca="1" si="28"/>
        <v>322987</v>
      </c>
      <c r="W23" s="156">
        <f t="shared" ca="1" si="28"/>
        <v>323243</v>
      </c>
      <c r="X23" s="156">
        <f t="shared" ca="1" si="28"/>
        <v>322502</v>
      </c>
      <c r="Y23" s="156">
        <f t="shared" ca="1" si="28"/>
        <v>321761</v>
      </c>
      <c r="Z23" s="156">
        <f t="shared" ca="1" si="28"/>
        <v>321517</v>
      </c>
      <c r="AA23" s="157">
        <f t="shared" si="28"/>
        <v>697311.33758716006</v>
      </c>
      <c r="AB23" s="157">
        <f t="shared" ref="AB23:AX23" si="29">AB8+AB12+AB15+AB19</f>
        <v>715749.56443607528</v>
      </c>
      <c r="AC23" s="157">
        <f t="shared" si="29"/>
        <v>762800.83261913667</v>
      </c>
      <c r="AD23" s="157">
        <f t="shared" si="29"/>
        <v>1325897.3033380667</v>
      </c>
      <c r="AE23" s="157">
        <f t="shared" si="29"/>
        <v>2841415.5144846253</v>
      </c>
      <c r="AF23" s="157">
        <f t="shared" si="29"/>
        <v>5148152.1485129073</v>
      </c>
      <c r="AG23" s="157">
        <f t="shared" si="29"/>
        <v>6515608.1510216594</v>
      </c>
      <c r="AH23" s="157">
        <f t="shared" si="29"/>
        <v>5573443.626027205</v>
      </c>
      <c r="AI23" s="157">
        <f t="shared" si="29"/>
        <v>3920420.5471583065</v>
      </c>
      <c r="AJ23" s="157">
        <f t="shared" si="29"/>
        <v>1874086.7613025873</v>
      </c>
      <c r="AK23" s="157">
        <f t="shared" si="29"/>
        <v>1132717.6511313017</v>
      </c>
      <c r="AL23" s="157">
        <f t="shared" si="29"/>
        <v>763870.9871598311</v>
      </c>
      <c r="AM23" s="156">
        <f t="shared" ca="1" si="29"/>
        <v>12183543.419999998</v>
      </c>
      <c r="AN23" s="156">
        <f t="shared" ca="1" si="29"/>
        <v>12049424.380000001</v>
      </c>
      <c r="AO23" s="156">
        <f t="shared" ca="1" si="29"/>
        <v>12507074.709999999</v>
      </c>
      <c r="AP23" s="156">
        <f t="shared" ca="1" si="29"/>
        <v>14995863.310000001</v>
      </c>
      <c r="AQ23" s="156">
        <f t="shared" ca="1" si="29"/>
        <v>25970437.050000001</v>
      </c>
      <c r="AR23" s="156">
        <f t="shared" ca="1" si="29"/>
        <v>41906436.760000005</v>
      </c>
      <c r="AS23" s="156">
        <f t="shared" ca="1" si="29"/>
        <v>53731940.129999995</v>
      </c>
      <c r="AT23" s="156">
        <f t="shared" ca="1" si="29"/>
        <v>49123877.68</v>
      </c>
      <c r="AU23" s="156">
        <f t="shared" ca="1" si="29"/>
        <v>39317759.61999999</v>
      </c>
      <c r="AV23" s="156">
        <f t="shared" ca="1" si="29"/>
        <v>23514846.219999999</v>
      </c>
      <c r="AW23" s="156">
        <f t="shared" ca="1" si="29"/>
        <v>17177949.880000003</v>
      </c>
      <c r="AX23" s="156">
        <f t="shared" ca="1" si="29"/>
        <v>13423169.999999998</v>
      </c>
      <c r="AY23"/>
      <c r="AZ23" s="128"/>
    </row>
    <row r="24" spans="1:60" x14ac:dyDescent="0.25">
      <c r="A24" s="185"/>
      <c r="B24" s="155"/>
      <c r="C24" s="151">
        <f ca="1">+C8+C12+C15+C19</f>
        <v>3859069</v>
      </c>
      <c r="D24" s="162" t="e">
        <f>+D8+D12+D15+D19+#REF!</f>
        <v>#REF!</v>
      </c>
      <c r="E24" s="151">
        <f t="shared" ca="1" si="27"/>
        <v>315902323.15999997</v>
      </c>
      <c r="G24" s="123">
        <f t="shared" ca="1" si="21"/>
        <v>1609536</v>
      </c>
      <c r="H24" s="124">
        <f t="shared" si="22"/>
        <v>8388407.2843391877</v>
      </c>
      <c r="I24" s="123">
        <f t="shared" ca="1" si="23"/>
        <v>105617269.13999999</v>
      </c>
      <c r="K24" s="123">
        <f t="shared" ca="1" si="24"/>
        <v>2249533</v>
      </c>
      <c r="L24" s="124">
        <f t="shared" si="25"/>
        <v>22883067.140439674</v>
      </c>
      <c r="M24" s="123">
        <f t="shared" ca="1" si="26"/>
        <v>210285054.02000001</v>
      </c>
      <c r="O24" s="156">
        <f ca="1">+O8+SUM(O10:O11)+SUM(O14:O14)+SUM(O17:O18)</f>
        <v>320513</v>
      </c>
      <c r="P24" s="156">
        <f t="shared" ref="P24:AX24" ca="1" si="30">+P8+SUM(P10:P11)+SUM(P14:P14)+SUM(P17:P18)</f>
        <v>320454</v>
      </c>
      <c r="Q24" s="156">
        <f t="shared" ca="1" si="30"/>
        <v>320073</v>
      </c>
      <c r="R24" s="156">
        <f t="shared" ca="1" si="30"/>
        <v>320450</v>
      </c>
      <c r="S24" s="156">
        <f t="shared" ca="1" si="30"/>
        <v>320781</v>
      </c>
      <c r="T24" s="156">
        <f t="shared" ca="1" si="30"/>
        <v>322066</v>
      </c>
      <c r="U24" s="156">
        <f t="shared" ca="1" si="30"/>
        <v>322722</v>
      </c>
      <c r="V24" s="156">
        <f t="shared" ca="1" si="30"/>
        <v>322987</v>
      </c>
      <c r="W24" s="156">
        <f t="shared" ca="1" si="30"/>
        <v>323243</v>
      </c>
      <c r="X24" s="156">
        <f t="shared" ca="1" si="30"/>
        <v>322502</v>
      </c>
      <c r="Y24" s="156">
        <f t="shared" ca="1" si="30"/>
        <v>321761</v>
      </c>
      <c r="Z24" s="156">
        <f t="shared" ca="1" si="30"/>
        <v>321517</v>
      </c>
      <c r="AA24" s="157">
        <f t="shared" si="30"/>
        <v>697311.33758716006</v>
      </c>
      <c r="AB24" s="157">
        <f t="shared" si="30"/>
        <v>715749.56443607528</v>
      </c>
      <c r="AC24" s="157">
        <f t="shared" si="30"/>
        <v>762800.83261913667</v>
      </c>
      <c r="AD24" s="157">
        <f t="shared" si="30"/>
        <v>1325897.3033380667</v>
      </c>
      <c r="AE24" s="157">
        <f t="shared" si="30"/>
        <v>2841415.5144846253</v>
      </c>
      <c r="AF24" s="157">
        <f t="shared" si="30"/>
        <v>5148152.1485129073</v>
      </c>
      <c r="AG24" s="157">
        <f t="shared" si="30"/>
        <v>6515608.1510216594</v>
      </c>
      <c r="AH24" s="157">
        <f t="shared" si="30"/>
        <v>5573443.626027205</v>
      </c>
      <c r="AI24" s="157">
        <f t="shared" si="30"/>
        <v>3920420.5471583065</v>
      </c>
      <c r="AJ24" s="157">
        <f t="shared" si="30"/>
        <v>1874086.7613025873</v>
      </c>
      <c r="AK24" s="157">
        <f t="shared" si="30"/>
        <v>1132717.6511313017</v>
      </c>
      <c r="AL24" s="157">
        <f t="shared" si="30"/>
        <v>763870.9871598311</v>
      </c>
      <c r="AM24" s="156">
        <f t="shared" ca="1" si="30"/>
        <v>12183543.419999998</v>
      </c>
      <c r="AN24" s="156">
        <f t="shared" ca="1" si="30"/>
        <v>12049424.380000001</v>
      </c>
      <c r="AO24" s="156">
        <f t="shared" ca="1" si="30"/>
        <v>12507074.709999999</v>
      </c>
      <c r="AP24" s="156">
        <f t="shared" ca="1" si="30"/>
        <v>14995863.310000001</v>
      </c>
      <c r="AQ24" s="156">
        <f t="shared" ca="1" si="30"/>
        <v>25970437.050000001</v>
      </c>
      <c r="AR24" s="156">
        <f t="shared" ca="1" si="30"/>
        <v>41906436.760000005</v>
      </c>
      <c r="AS24" s="156">
        <f t="shared" ca="1" si="30"/>
        <v>53731940.129999995</v>
      </c>
      <c r="AT24" s="156">
        <f t="shared" ca="1" si="30"/>
        <v>49123877.68</v>
      </c>
      <c r="AU24" s="156">
        <f t="shared" ca="1" si="30"/>
        <v>39317759.61999999</v>
      </c>
      <c r="AV24" s="156">
        <f t="shared" ca="1" si="30"/>
        <v>23514846.219999999</v>
      </c>
      <c r="AW24" s="156">
        <f t="shared" ca="1" si="30"/>
        <v>17177949.880000003</v>
      </c>
      <c r="AX24" s="156">
        <f t="shared" ca="1" si="30"/>
        <v>13423169.999999998</v>
      </c>
      <c r="AY24"/>
      <c r="AZ24" s="128"/>
    </row>
    <row r="25" spans="1:60" x14ac:dyDescent="0.25">
      <c r="A25" s="185"/>
      <c r="C25" s="151">
        <f ca="1">SUM(O25:Z25)</f>
        <v>1934732</v>
      </c>
      <c r="D25" s="162"/>
      <c r="E25" s="151"/>
      <c r="G25" s="123">
        <f t="shared" ca="1" si="21"/>
        <v>1289023</v>
      </c>
      <c r="H25" s="124">
        <f t="shared" si="22"/>
        <v>-8388407.2843391877</v>
      </c>
      <c r="I25" s="123">
        <f t="shared" ca="1" si="23"/>
        <v>-81250182.299999982</v>
      </c>
      <c r="K25" s="123">
        <f t="shared" ca="1" si="24"/>
        <v>645709</v>
      </c>
      <c r="L25" s="124">
        <f t="shared" si="25"/>
        <v>-22883067.140439674</v>
      </c>
      <c r="M25" s="123">
        <f t="shared" ca="1" si="26"/>
        <v>4573418.4000000134</v>
      </c>
      <c r="O25" s="156"/>
      <c r="P25" s="156"/>
      <c r="Q25" s="156"/>
      <c r="R25" s="156"/>
      <c r="S25" s="156"/>
      <c r="T25" s="156"/>
      <c r="U25" s="334">
        <f t="shared" ref="U25:Z25" ca="1" si="31">U24-U22</f>
        <v>322722</v>
      </c>
      <c r="V25" s="334">
        <f t="shared" ca="1" si="31"/>
        <v>322987</v>
      </c>
      <c r="W25" s="334">
        <f t="shared" ca="1" si="31"/>
        <v>323243</v>
      </c>
      <c r="X25" s="334">
        <f t="shared" ca="1" si="31"/>
        <v>322502</v>
      </c>
      <c r="Y25" s="334">
        <f t="shared" ca="1" si="31"/>
        <v>321761</v>
      </c>
      <c r="Z25" s="334">
        <f t="shared" ca="1" si="31"/>
        <v>321517</v>
      </c>
      <c r="AA25" s="404">
        <f>+AA22-AA24</f>
        <v>-697311.33758716006</v>
      </c>
      <c r="AB25" s="404">
        <f t="shared" ref="AB25:AF25" si="32">+AB22-AB24</f>
        <v>-715749.56443607528</v>
      </c>
      <c r="AC25" s="404">
        <f t="shared" si="32"/>
        <v>-762800.83261913667</v>
      </c>
      <c r="AD25" s="404">
        <f t="shared" si="32"/>
        <v>-1325897.3033380667</v>
      </c>
      <c r="AE25" s="404">
        <f t="shared" si="32"/>
        <v>-2841415.5144846253</v>
      </c>
      <c r="AF25" s="404">
        <f t="shared" si="32"/>
        <v>-5148152.1485129073</v>
      </c>
      <c r="AG25" s="404">
        <f t="shared" ref="AG25" si="33">+AG22-AG24</f>
        <v>-6515608.1510216594</v>
      </c>
      <c r="AH25" s="404">
        <f t="shared" ref="AH25:AL25" si="34">+AH22-AH24</f>
        <v>-5573443.626027205</v>
      </c>
      <c r="AI25" s="404">
        <f t="shared" si="34"/>
        <v>-3920420.5471583065</v>
      </c>
      <c r="AJ25" s="404">
        <f t="shared" si="34"/>
        <v>-1874086.7613025873</v>
      </c>
      <c r="AK25" s="404">
        <f t="shared" si="34"/>
        <v>-1132717.6511313017</v>
      </c>
      <c r="AL25" s="404">
        <f t="shared" si="34"/>
        <v>-763870.9871598311</v>
      </c>
      <c r="AM25" s="395">
        <f ca="1">AM23-AM22</f>
        <v>12183543.419999998</v>
      </c>
      <c r="AN25" s="395">
        <f t="shared" ref="AN25:AR25" ca="1" si="35">AN23-AN22</f>
        <v>12049424.380000001</v>
      </c>
      <c r="AO25" s="395">
        <f t="shared" ca="1" si="35"/>
        <v>12507074.709999999</v>
      </c>
      <c r="AP25" s="395">
        <f t="shared" ca="1" si="35"/>
        <v>14995863.310000001</v>
      </c>
      <c r="AQ25" s="395">
        <f t="shared" ca="1" si="35"/>
        <v>25970437.050000001</v>
      </c>
      <c r="AR25" s="395">
        <f t="shared" ca="1" si="35"/>
        <v>41906436.760000005</v>
      </c>
      <c r="AS25" s="395">
        <f t="shared" ref="AS25:AX25" ca="1" si="36">+AS22-AS24</f>
        <v>-53731940.129999995</v>
      </c>
      <c r="AT25" s="395">
        <f t="shared" ca="1" si="36"/>
        <v>-49123877.68</v>
      </c>
      <c r="AU25" s="395">
        <f t="shared" ca="1" si="36"/>
        <v>-39317759.61999999</v>
      </c>
      <c r="AV25" s="395">
        <f t="shared" ca="1" si="36"/>
        <v>-23514846.219999999</v>
      </c>
      <c r="AW25" s="395">
        <f t="shared" ca="1" si="36"/>
        <v>-17177949.880000003</v>
      </c>
      <c r="AX25" s="395">
        <f t="shared" ca="1" si="36"/>
        <v>-13423169.999999998</v>
      </c>
      <c r="AY25"/>
      <c r="AZ25" s="128"/>
    </row>
    <row r="26" spans="1:60" customFormat="1" x14ac:dyDescent="0.25"/>
    <row r="27" spans="1:60" x14ac:dyDescent="0.25">
      <c r="A27" s="185"/>
      <c r="B27" s="116" t="s">
        <v>298</v>
      </c>
      <c r="C27" s="181"/>
      <c r="D27" s="292"/>
      <c r="E27" s="181"/>
      <c r="AS27" s="95"/>
      <c r="AT27" s="95"/>
      <c r="AU27" s="95"/>
      <c r="AV27" s="95"/>
      <c r="AW27" s="95"/>
      <c r="AX27" s="95"/>
      <c r="AY27"/>
    </row>
    <row r="28" spans="1:60" s="160" customFormat="1" x14ac:dyDescent="0.25">
      <c r="A28" s="185" t="s">
        <v>34</v>
      </c>
      <c r="B28" s="161" t="s">
        <v>752</v>
      </c>
      <c r="C28" s="151">
        <f>SUM(O28:Z28)</f>
        <v>12</v>
      </c>
      <c r="D28" s="162">
        <f t="shared" ref="D28:D45" si="37">SUM(AA28:AL28)</f>
        <v>154579.79999999999</v>
      </c>
      <c r="E28" s="151">
        <f ca="1">SUM(AM28:AX28)+BG28</f>
        <v>2922300.5600000005</v>
      </c>
      <c r="F28" s="151"/>
      <c r="G28" s="123">
        <f t="shared" ref="G28:G45" si="38">O28+W28+X28+Y28+Z28</f>
        <v>5</v>
      </c>
      <c r="H28" s="124">
        <f t="shared" ref="H28:H45" si="39">AA28+AI28+AJ28+AK28+AL28</f>
        <v>63333.099999999991</v>
      </c>
      <c r="I28" s="123">
        <f t="shared" ref="I28:I45" ca="1" si="40">AM28+AU28+AV28+AW28+AX28</f>
        <v>1251161.98</v>
      </c>
      <c r="J28" s="151"/>
      <c r="K28" s="123">
        <f t="shared" ref="K28:K30" si="41">SUM(P28:V28)</f>
        <v>7</v>
      </c>
      <c r="L28" s="124">
        <f t="shared" ref="L28:L45" si="42">SUM(AB28:AH28)</f>
        <v>91246.700000000012</v>
      </c>
      <c r="M28" s="123">
        <f t="shared" ref="M28:M45" ca="1" si="43">SUM(AN28:AT28)</f>
        <v>1671138.5799999998</v>
      </c>
      <c r="O28" s="125">
        <f>SUMIFS('Jul17-Jun18 Transport'!$H$7:$H$89,'Jul17-Jun18 Transport'!$D7:$D89,SBR!O$4,'Jul17-Jun18 Transport'!$E$7:$E$89,SBR!$A$28)</f>
        <v>1</v>
      </c>
      <c r="P28" s="125">
        <f>SUMIFS('Jul17-Jun18 Transport'!$H$7:$H$89,'Jul17-Jun18 Transport'!$D7:$D89,SBR!P$4,'Jul17-Jun18 Transport'!$E$7:$E$89,SBR!$A$28)</f>
        <v>1</v>
      </c>
      <c r="Q28" s="125">
        <f>SUMIFS('Jul17-Jun18 Transport'!$H$7:$H$89,'Jul17-Jun18 Transport'!$D7:$D89,SBR!Q$4,'Jul17-Jun18 Transport'!$E$7:$E$89,SBR!$A$28)</f>
        <v>1</v>
      </c>
      <c r="R28" s="125">
        <f>SUMIFS('Jul17-Jun18 Transport'!$H$7:$H$89,'Jul17-Jun18 Transport'!$D7:$D89,SBR!R$4,'Jul17-Jun18 Transport'!$E$7:$E$89,SBR!$A$28)</f>
        <v>1</v>
      </c>
      <c r="S28" s="125">
        <f>SUMIFS('Jul17-Jun18 Transport'!$H$7:$H$89,'Jul17-Jun18 Transport'!$D7:$D89,SBR!S$4,'Jul17-Jun18 Transport'!$E$7:$E$89,SBR!$A$28)</f>
        <v>1</v>
      </c>
      <c r="T28" s="125">
        <f>SUMIFS('Jul17-Jun18 Transport'!$H$7:$H$89,'Jul17-Jun18 Transport'!$D7:$D89,SBR!T$4,'Jul17-Jun18 Transport'!$E$7:$E$89,SBR!$A$28)</f>
        <v>1</v>
      </c>
      <c r="U28" s="125">
        <f>SUMIFS('Jul17-Jun18 Transport'!$H$7:$H$89,'Jul17-Jun18 Transport'!$D7:$D89,SBR!U$4,'Jul17-Jun18 Transport'!$E$7:$E$89,SBR!$A$28)</f>
        <v>1</v>
      </c>
      <c r="V28" s="125">
        <f>SUMIFS('Jul17-Jun18 Transport'!$H$7:$H$89,'Jul17-Jun18 Transport'!$D7:$D89,SBR!V$4,'Jul17-Jun18 Transport'!$E$7:$E$89,SBR!$A$28)</f>
        <v>1</v>
      </c>
      <c r="W28" s="125">
        <f>SUMIFS('Jul17-Jun18 Transport'!$H$7:$H$89,'Jul17-Jun18 Transport'!$D7:$D89,SBR!W$4,'Jul17-Jun18 Transport'!$E$7:$E$89,SBR!$A$28)</f>
        <v>1</v>
      </c>
      <c r="X28" s="125">
        <f>SUMIFS('Jul17-Jun18 Transport'!$H$7:$H$89,'Jul17-Jun18 Transport'!$D7:$D89,SBR!X$4,'Jul17-Jun18 Transport'!$E$7:$E$89,SBR!$A$28)</f>
        <v>1</v>
      </c>
      <c r="Y28" s="125">
        <f>SUMIFS('Jul17-Jun18 Transport'!$H$7:$H$89,'Jul17-Jun18 Transport'!$D7:$D89,SBR!Y$4,'Jul17-Jun18 Transport'!$E$7:$E$89,SBR!$A$28)</f>
        <v>1</v>
      </c>
      <c r="Z28" s="125">
        <f>SUMIFS('Jul17-Jun18 Transport'!$H$7:$H$89,'Jul17-Jun18 Transport'!$D7:$D89,SBR!Z$4,'Jul17-Jun18 Transport'!$E$7:$E$89,SBR!$A$28)</f>
        <v>1</v>
      </c>
      <c r="AA28" s="121">
        <f>SUMIFS('Jul17-Jun18 Transport'!$K$7:$K$89,'Jul17-Jun18 Transport'!$D$7:$D$89,SBR!AA$4,'Jul17-Jun18 Transport'!$E$7:$E$89,SBR!$A$28)*0.1</f>
        <v>13182.900000000001</v>
      </c>
      <c r="AB28" s="121">
        <f>SUMIFS('Jul17-Jun18 Transport'!$K$7:$K$89,'Jul17-Jun18 Transport'!$D$7:$D$89,SBR!AB$4,'Jul17-Jun18 Transport'!$E$7:$E$89,SBR!$A$28)*0.1</f>
        <v>13395.900000000001</v>
      </c>
      <c r="AC28" s="121">
        <f>SUMIFS('Jul17-Jun18 Transport'!$K$7:$K$89,'Jul17-Jun18 Transport'!$D$7:$D$89,SBR!AC$4,'Jul17-Jun18 Transport'!$E$7:$E$89,SBR!$A$28)*0.1</f>
        <v>12191.800000000001</v>
      </c>
      <c r="AD28" s="121">
        <f>SUMIFS('Jul17-Jun18 Transport'!$K$7:$K$89,'Jul17-Jun18 Transport'!$D$7:$D$89,SBR!AD$4,'Jul17-Jun18 Transport'!$E$7:$E$89,SBR!$A$28)*0.1</f>
        <v>14343.800000000001</v>
      </c>
      <c r="AE28" s="121">
        <f>SUMIFS('Jul17-Jun18 Transport'!$K$7:$K$89,'Jul17-Jun18 Transport'!$D$7:$D$89,SBR!AE$4,'Jul17-Jun18 Transport'!$E$7:$E$89,SBR!$A$28)*0.1</f>
        <v>15460.1</v>
      </c>
      <c r="AF28" s="121">
        <f>SUMIFS('Jul17-Jun18 Transport'!$K$7:$K$89,'Jul17-Jun18 Transport'!$D$7:$D$89,SBR!AF$4,'Jul17-Jun18 Transport'!$E$7:$E$89,SBR!$A$28)*0.1</f>
        <v>12236.5</v>
      </c>
      <c r="AG28" s="121">
        <f>SUMIFS('Jul17-Jun18 Transport'!$K$7:$K$89,'Jul17-Jun18 Transport'!$D$7:$D$89,SBR!AG$4,'Jul17-Jun18 Transport'!$E$7:$E$89,SBR!$A$28)*0.1</f>
        <v>12279.599999999999</v>
      </c>
      <c r="AH28" s="121">
        <f>SUMIFS('Jul17-Jun18 Transport'!$K$7:$K$89,'Jul17-Jun18 Transport'!$D$7:$D$89,SBR!AH$4,'Jul17-Jun18 Transport'!$E$7:$E$89,SBR!$A$28)*0.1</f>
        <v>11339</v>
      </c>
      <c r="AI28" s="121">
        <f>SUMIFS('Jul17-Jun18 Transport'!$K$7:$K$89,'Jul17-Jun18 Transport'!$D$7:$D$89,SBR!AI$4,'Jul17-Jun18 Transport'!$E$7:$E$89,SBR!$A$28)*0.1</f>
        <v>12191.899999999994</v>
      </c>
      <c r="AJ28" s="121">
        <f>SUMIFS('Jul17-Jun18 Transport'!$K$7:$K$89,'Jul17-Jun18 Transport'!$D$7:$D$89,SBR!AJ$4,'Jul17-Jun18 Transport'!$E$7:$E$89,SBR!$A$28)*0.1</f>
        <v>13486.899999999998</v>
      </c>
      <c r="AK28" s="121">
        <f>SUMIFS('Jul17-Jun18 Transport'!$K$7:$K$89,'Jul17-Jun18 Transport'!$D$7:$D$89,SBR!AK$4,'Jul17-Jun18 Transport'!$E$7:$E$89,SBR!$A$28)*0.1</f>
        <v>12279.599999999999</v>
      </c>
      <c r="AL28" s="121">
        <f>SUMIFS('Jul17-Jun18 Transport'!$K$7:$K$89,'Jul17-Jun18 Transport'!$D$7:$D$89,SBR!AL$4,'Jul17-Jun18 Transport'!$E$7:$E$89,SBR!$A$28)*0.1</f>
        <v>12191.799999999997</v>
      </c>
      <c r="AM28" s="158">
        <f ca="1">SUMIFS('Jul17-Jun18 Transport'!$BC$7:$BC$89,'Jul17-Jun18 Transport'!$D$7:$D$89,SBR!AM$4,'Jul17-Jun18 Transport'!$E$7:$E$89,SBR!$A$28)</f>
        <v>239029.51</v>
      </c>
      <c r="AN28" s="158">
        <f ca="1">SUMIFS('Jul17-Jun18 Transport'!$BC$7:$BC$89,'Jul17-Jun18 Transport'!$D$7:$D$89,SBR!AN$4,'Jul17-Jun18 Transport'!$E$7:$E$89,SBR!$A$28)</f>
        <v>234018.11</v>
      </c>
      <c r="AO28" s="158">
        <f ca="1">SUMIFS('Jul17-Jun18 Transport'!$BC$7:$BC$89,'Jul17-Jun18 Transport'!$D$7:$D$89,SBR!AO$4,'Jul17-Jun18 Transport'!$E$7:$E$89,SBR!$A$28)</f>
        <v>232742.54</v>
      </c>
      <c r="AP28" s="158">
        <f ca="1">SUMIFS('Jul17-Jun18 Transport'!$BC$7:$BC$89,'Jul17-Jun18 Transport'!$D$7:$D$89,SBR!AP$4,'Jul17-Jun18 Transport'!$E$7:$E$89,SBR!$A$28)</f>
        <v>229763.71</v>
      </c>
      <c r="AQ28" s="158">
        <f ca="1">SUMIFS('Jul17-Jun18 Transport'!$BC$7:$BC$89,'Jul17-Jun18 Transport'!$D$7:$D$89,SBR!AQ$4,'Jul17-Jun18 Transport'!$E$7:$E$89,SBR!$A$28)</f>
        <v>248457.85</v>
      </c>
      <c r="AR28" s="158">
        <f ca="1">SUMIFS('Jul17-Jun18 Transport'!$BC$7:$BC$89,'Jul17-Jun18 Transport'!$D$7:$D$89,SBR!AR$4,'Jul17-Jun18 Transport'!$E$7:$E$89,SBR!$A$28)</f>
        <v>239159.11</v>
      </c>
      <c r="AS28" s="158">
        <f ca="1">SUMIFS('Jul17-Jun18 Transport'!$BC$7:$BC$89,'Jul17-Jun18 Transport'!$D$7:$D$89,SBR!AS$4,'Jul17-Jun18 Transport'!$E$7:$E$89,SBR!$A$28)</f>
        <v>243658.43</v>
      </c>
      <c r="AT28" s="158">
        <f ca="1">SUMIFS('Jul17-Jun18 Transport'!$BC$7:$BC$89,'Jul17-Jun18 Transport'!$D$7:$D$89,SBR!AT$4,'Jul17-Jun18 Transport'!$E$7:$E$89,SBR!$A$28)</f>
        <v>243338.83</v>
      </c>
      <c r="AU28" s="158">
        <f ca="1">SUMIFS('Jul17-Jun18 Transport'!$BC$7:$BC$89,'Jul17-Jun18 Transport'!$D$7:$D$89,SBR!AU$4,'Jul17-Jun18 Transport'!$E$7:$E$89,SBR!$A$28)</f>
        <v>254219.51</v>
      </c>
      <c r="AV28" s="158">
        <f ca="1">SUMIFS('Jul17-Jun18 Transport'!$BC$7:$BC$89,'Jul17-Jun18 Transport'!$D$7:$D$89,SBR!AV$4,'Jul17-Jun18 Transport'!$E$7:$E$89,SBR!$A$28)</f>
        <v>264729.51</v>
      </c>
      <c r="AW28" s="158">
        <f ca="1">SUMIFS('Jul17-Jun18 Transport'!$BC$7:$BC$89,'Jul17-Jun18 Transport'!$D$7:$D$89,SBR!AW$4,'Jul17-Jun18 Transport'!$E$7:$E$89,SBR!$A$28)</f>
        <v>253117.83</v>
      </c>
      <c r="AX28" s="158">
        <f ca="1">SUMIFS('Jul17-Jun18 Transport'!$BC$7:$BC$89,'Jul17-Jun18 Transport'!$D$7:$D$89,SBR!AX$4,'Jul17-Jun18 Transport'!$E$7:$E$89,SBR!$A$28)</f>
        <v>240065.62</v>
      </c>
      <c r="AY28"/>
      <c r="AZ28" s="159"/>
      <c r="BA28"/>
      <c r="BB28"/>
      <c r="BC28"/>
      <c r="BD28"/>
      <c r="BE28"/>
      <c r="BF28"/>
      <c r="BG28"/>
      <c r="BH28"/>
    </row>
    <row r="29" spans="1:60" s="160" customFormat="1" x14ac:dyDescent="0.25">
      <c r="A29" s="185" t="s">
        <v>51</v>
      </c>
      <c r="B29" s="163" t="s">
        <v>753</v>
      </c>
      <c r="C29" s="164">
        <f>SUM(O29:Z29)</f>
        <v>0</v>
      </c>
      <c r="D29" s="165">
        <f t="shared" si="37"/>
        <v>0</v>
      </c>
      <c r="E29" s="164">
        <f t="shared" ref="E29:E30" si="44">SUM(AM29:AX29)+BG29</f>
        <v>0</v>
      </c>
      <c r="F29" s="151"/>
      <c r="G29" s="129">
        <f t="shared" si="38"/>
        <v>0</v>
      </c>
      <c r="H29" s="130">
        <f t="shared" si="39"/>
        <v>0</v>
      </c>
      <c r="I29" s="129">
        <f t="shared" si="40"/>
        <v>0</v>
      </c>
      <c r="J29" s="123"/>
      <c r="K29" s="129">
        <f t="shared" si="41"/>
        <v>0</v>
      </c>
      <c r="L29" s="130">
        <f t="shared" si="42"/>
        <v>0</v>
      </c>
      <c r="M29" s="129">
        <f t="shared" si="43"/>
        <v>0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/>
      <c r="AZ29" s="159"/>
      <c r="BA29"/>
      <c r="BB29"/>
      <c r="BC29"/>
      <c r="BD29"/>
      <c r="BE29"/>
      <c r="BF29"/>
      <c r="BG29"/>
      <c r="BH29"/>
    </row>
    <row r="30" spans="1:60" s="160" customFormat="1" x14ac:dyDescent="0.25">
      <c r="A30" s="185"/>
      <c r="B30" s="168" t="s">
        <v>558</v>
      </c>
      <c r="C30" s="151">
        <f>SUM(O30:Z30)</f>
        <v>12</v>
      </c>
      <c r="D30" s="162">
        <f t="shared" si="37"/>
        <v>154579.79999999999</v>
      </c>
      <c r="E30" s="151">
        <f t="shared" ca="1" si="44"/>
        <v>2922300.5600000005</v>
      </c>
      <c r="F30" s="151"/>
      <c r="G30" s="123">
        <f t="shared" si="38"/>
        <v>5</v>
      </c>
      <c r="H30" s="124">
        <f t="shared" si="39"/>
        <v>63333.099999999991</v>
      </c>
      <c r="I30" s="123">
        <f t="shared" ca="1" si="40"/>
        <v>1251161.98</v>
      </c>
      <c r="J30" s="123"/>
      <c r="K30" s="123">
        <f t="shared" si="41"/>
        <v>7</v>
      </c>
      <c r="L30" s="124">
        <f t="shared" si="42"/>
        <v>91246.700000000012</v>
      </c>
      <c r="M30" s="123">
        <f t="shared" ca="1" si="43"/>
        <v>1671138.5799999998</v>
      </c>
      <c r="O30" s="125">
        <f t="shared" ref="O30:Z30" si="45">+O28+O29</f>
        <v>1</v>
      </c>
      <c r="P30" s="125">
        <f t="shared" si="45"/>
        <v>1</v>
      </c>
      <c r="Q30" s="125">
        <f t="shared" si="45"/>
        <v>1</v>
      </c>
      <c r="R30" s="125">
        <f t="shared" si="45"/>
        <v>1</v>
      </c>
      <c r="S30" s="125">
        <f t="shared" si="45"/>
        <v>1</v>
      </c>
      <c r="T30" s="125">
        <f t="shared" si="45"/>
        <v>1</v>
      </c>
      <c r="U30" s="125">
        <f t="shared" si="45"/>
        <v>1</v>
      </c>
      <c r="V30" s="125">
        <f t="shared" si="45"/>
        <v>1</v>
      </c>
      <c r="W30" s="125">
        <f t="shared" si="45"/>
        <v>1</v>
      </c>
      <c r="X30" s="125">
        <f t="shared" si="45"/>
        <v>1</v>
      </c>
      <c r="Y30" s="125">
        <f t="shared" si="45"/>
        <v>1</v>
      </c>
      <c r="Z30" s="125">
        <f t="shared" si="45"/>
        <v>1</v>
      </c>
      <c r="AA30" s="142">
        <f t="shared" ref="AA30:AX30" si="46">SUM(AA28:AA29)</f>
        <v>13182.900000000001</v>
      </c>
      <c r="AB30" s="142">
        <f t="shared" si="46"/>
        <v>13395.900000000001</v>
      </c>
      <c r="AC30" s="142">
        <f t="shared" si="46"/>
        <v>12191.800000000001</v>
      </c>
      <c r="AD30" s="142">
        <f t="shared" si="46"/>
        <v>14343.800000000001</v>
      </c>
      <c r="AE30" s="142">
        <f t="shared" si="46"/>
        <v>15460.1</v>
      </c>
      <c r="AF30" s="142">
        <f t="shared" si="46"/>
        <v>12236.5</v>
      </c>
      <c r="AG30" s="142">
        <f t="shared" si="46"/>
        <v>12279.599999999999</v>
      </c>
      <c r="AH30" s="142">
        <f t="shared" si="46"/>
        <v>11339</v>
      </c>
      <c r="AI30" s="142">
        <f t="shared" si="46"/>
        <v>12191.899999999994</v>
      </c>
      <c r="AJ30" s="142">
        <f t="shared" si="46"/>
        <v>13486.899999999998</v>
      </c>
      <c r="AK30" s="142">
        <f t="shared" si="46"/>
        <v>12279.599999999999</v>
      </c>
      <c r="AL30" s="142">
        <f t="shared" si="46"/>
        <v>12191.799999999997</v>
      </c>
      <c r="AM30" s="158">
        <f t="shared" ca="1" si="46"/>
        <v>239029.51</v>
      </c>
      <c r="AN30" s="158">
        <f t="shared" ca="1" si="46"/>
        <v>234018.11</v>
      </c>
      <c r="AO30" s="158">
        <f t="shared" ca="1" si="46"/>
        <v>232742.54</v>
      </c>
      <c r="AP30" s="158">
        <f t="shared" ca="1" si="46"/>
        <v>229763.71</v>
      </c>
      <c r="AQ30" s="158">
        <f t="shared" ca="1" si="46"/>
        <v>248457.85</v>
      </c>
      <c r="AR30" s="158">
        <f t="shared" ca="1" si="46"/>
        <v>239159.11</v>
      </c>
      <c r="AS30" s="158">
        <f t="shared" ca="1" si="46"/>
        <v>243658.43</v>
      </c>
      <c r="AT30" s="158">
        <f t="shared" ca="1" si="46"/>
        <v>243338.83</v>
      </c>
      <c r="AU30" s="158">
        <f t="shared" ca="1" si="46"/>
        <v>254219.51</v>
      </c>
      <c r="AV30" s="158">
        <f t="shared" ca="1" si="46"/>
        <v>264729.51</v>
      </c>
      <c r="AW30" s="158">
        <f t="shared" ca="1" si="46"/>
        <v>253117.83</v>
      </c>
      <c r="AX30" s="158">
        <f t="shared" ca="1" si="46"/>
        <v>240065.62</v>
      </c>
      <c r="AY30"/>
      <c r="AZ30" s="159"/>
      <c r="BA30"/>
      <c r="BB30"/>
      <c r="BC30"/>
      <c r="BD30"/>
      <c r="BE30"/>
      <c r="BF30"/>
      <c r="BG30"/>
      <c r="BH30"/>
    </row>
    <row r="31" spans="1:60" s="160" customFormat="1" x14ac:dyDescent="0.25">
      <c r="A31" s="185"/>
      <c r="B31" s="168"/>
      <c r="C31" s="151"/>
      <c r="D31" s="162"/>
      <c r="E31" s="151"/>
      <c r="F31" s="151"/>
      <c r="G31" s="123"/>
      <c r="H31" s="124"/>
      <c r="I31" s="123"/>
      <c r="J31" s="123"/>
      <c r="K31" s="123"/>
      <c r="L31" s="124"/>
      <c r="M31" s="12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 s="159"/>
      <c r="BA31"/>
      <c r="BB31"/>
      <c r="BC31"/>
      <c r="BD31"/>
      <c r="BE31"/>
      <c r="BF31"/>
      <c r="BG31"/>
      <c r="BH31"/>
    </row>
    <row r="32" spans="1:60" s="160" customFormat="1" x14ac:dyDescent="0.25">
      <c r="A32" s="185"/>
      <c r="B32" s="171" t="s">
        <v>557</v>
      </c>
      <c r="C32" s="151">
        <f>SUM(O32:Z32)</f>
        <v>0</v>
      </c>
      <c r="D32" s="162">
        <f>SUM(AA32:AL32)</f>
        <v>0</v>
      </c>
      <c r="E32" s="151">
        <f>SUM(AM32:AX32)</f>
        <v>0</v>
      </c>
      <c r="F32" s="151"/>
      <c r="G32" s="123">
        <f t="shared" si="38"/>
        <v>0</v>
      </c>
      <c r="H32" s="124">
        <f t="shared" si="39"/>
        <v>0</v>
      </c>
      <c r="I32" s="123">
        <f t="shared" si="40"/>
        <v>0</v>
      </c>
      <c r="J32" s="123"/>
      <c r="K32" s="123">
        <f t="shared" ref="K32:K45" si="47">SUM(P32:V32)</f>
        <v>0</v>
      </c>
      <c r="L32" s="124">
        <f t="shared" si="42"/>
        <v>0</v>
      </c>
      <c r="M32" s="123">
        <f t="shared" si="43"/>
        <v>0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430"/>
      <c r="AB32" s="430"/>
      <c r="AC32" s="430"/>
      <c r="AD32" s="430"/>
      <c r="AE32" s="430"/>
      <c r="AF32" s="430"/>
      <c r="AG32" s="431"/>
      <c r="AH32" s="431"/>
      <c r="AI32" s="431"/>
      <c r="AJ32" s="431"/>
      <c r="AK32" s="431"/>
      <c r="AL32" s="431"/>
      <c r="AM32" s="170"/>
      <c r="AN32" s="170"/>
      <c r="AO32" s="170"/>
      <c r="AP32" s="170"/>
      <c r="AQ32" s="170"/>
      <c r="AR32" s="170"/>
      <c r="AS32" s="340"/>
      <c r="AT32" s="340"/>
      <c r="AU32" s="340"/>
      <c r="AV32" s="340"/>
      <c r="AW32" s="340"/>
      <c r="AX32" s="340"/>
      <c r="AY32"/>
      <c r="AZ32" s="159"/>
      <c r="BA32"/>
      <c r="BB32"/>
      <c r="BC32"/>
      <c r="BD32"/>
      <c r="BE32"/>
      <c r="BF32"/>
      <c r="BG32"/>
      <c r="BH32"/>
    </row>
    <row r="33" spans="1:64" s="160" customFormat="1" x14ac:dyDescent="0.25">
      <c r="A33" s="185"/>
      <c r="B33" s="171" t="s">
        <v>559</v>
      </c>
      <c r="C33" s="151">
        <f>SUM(C28:C29)</f>
        <v>12</v>
      </c>
      <c r="D33" s="162">
        <f>SUM(AA33:AL33)</f>
        <v>154582</v>
      </c>
      <c r="E33" s="151">
        <f ca="1">SUM(AM33:AX33)</f>
        <v>2922300.5600000005</v>
      </c>
      <c r="F33" s="151"/>
      <c r="G33" s="123">
        <f t="shared" si="38"/>
        <v>5</v>
      </c>
      <c r="H33" s="124">
        <f t="shared" si="39"/>
        <v>63334</v>
      </c>
      <c r="I33" s="123">
        <f t="shared" ca="1" si="40"/>
        <v>1251161.98</v>
      </c>
      <c r="J33" s="123"/>
      <c r="K33" s="123">
        <f t="shared" si="47"/>
        <v>7</v>
      </c>
      <c r="L33" s="124">
        <f t="shared" si="42"/>
        <v>91248</v>
      </c>
      <c r="M33" s="123">
        <f t="shared" ca="1" si="43"/>
        <v>1671138.5799999998</v>
      </c>
      <c r="O33" s="123">
        <f>O30</f>
        <v>1</v>
      </c>
      <c r="P33" s="123">
        <f t="shared" ref="P33:Z33" si="48">P30</f>
        <v>1</v>
      </c>
      <c r="Q33" s="123">
        <f t="shared" si="48"/>
        <v>1</v>
      </c>
      <c r="R33" s="123">
        <f t="shared" si="48"/>
        <v>1</v>
      </c>
      <c r="S33" s="123">
        <f t="shared" si="48"/>
        <v>1</v>
      </c>
      <c r="T33" s="123">
        <f t="shared" si="48"/>
        <v>1</v>
      </c>
      <c r="U33" s="123">
        <f t="shared" si="48"/>
        <v>1</v>
      </c>
      <c r="V33" s="123">
        <f t="shared" si="48"/>
        <v>1</v>
      </c>
      <c r="W33" s="123">
        <f t="shared" si="48"/>
        <v>1</v>
      </c>
      <c r="X33" s="123">
        <f t="shared" si="48"/>
        <v>1</v>
      </c>
      <c r="Y33" s="123">
        <f t="shared" si="48"/>
        <v>1</v>
      </c>
      <c r="Z33" s="123">
        <f t="shared" si="48"/>
        <v>1</v>
      </c>
      <c r="AA33" s="142">
        <f>ROUND(AA30,0)</f>
        <v>13183</v>
      </c>
      <c r="AB33" s="142">
        <f t="shared" ref="AB33:AL33" si="49">ROUND(AB30,0)</f>
        <v>13396</v>
      </c>
      <c r="AC33" s="142">
        <f t="shared" si="49"/>
        <v>12192</v>
      </c>
      <c r="AD33" s="142">
        <f t="shared" si="49"/>
        <v>14344</v>
      </c>
      <c r="AE33" s="142">
        <f t="shared" si="49"/>
        <v>15460</v>
      </c>
      <c r="AF33" s="142">
        <f t="shared" si="49"/>
        <v>12237</v>
      </c>
      <c r="AG33" s="142">
        <f t="shared" si="49"/>
        <v>12280</v>
      </c>
      <c r="AH33" s="142">
        <f t="shared" si="49"/>
        <v>11339</v>
      </c>
      <c r="AI33" s="142">
        <f t="shared" si="49"/>
        <v>12192</v>
      </c>
      <c r="AJ33" s="142">
        <f t="shared" si="49"/>
        <v>13487</v>
      </c>
      <c r="AK33" s="142">
        <f t="shared" si="49"/>
        <v>12280</v>
      </c>
      <c r="AL33" s="142">
        <f t="shared" si="49"/>
        <v>12192</v>
      </c>
      <c r="AM33" s="158">
        <f ca="1">+AM30</f>
        <v>239029.51</v>
      </c>
      <c r="AN33" s="158">
        <f t="shared" ref="AN33:AX33" ca="1" si="50">+AN30</f>
        <v>234018.11</v>
      </c>
      <c r="AO33" s="158">
        <f t="shared" ca="1" si="50"/>
        <v>232742.54</v>
      </c>
      <c r="AP33" s="158">
        <f t="shared" ca="1" si="50"/>
        <v>229763.71</v>
      </c>
      <c r="AQ33" s="158">
        <f t="shared" ca="1" si="50"/>
        <v>248457.85</v>
      </c>
      <c r="AR33" s="158">
        <f t="shared" ca="1" si="50"/>
        <v>239159.11</v>
      </c>
      <c r="AS33" s="158">
        <f t="shared" ca="1" si="50"/>
        <v>243658.43</v>
      </c>
      <c r="AT33" s="158">
        <f t="shared" ca="1" si="50"/>
        <v>243338.83</v>
      </c>
      <c r="AU33" s="158">
        <f t="shared" ca="1" si="50"/>
        <v>254219.51</v>
      </c>
      <c r="AV33" s="158">
        <f t="shared" ca="1" si="50"/>
        <v>264729.51</v>
      </c>
      <c r="AW33" s="158">
        <f t="shared" ca="1" si="50"/>
        <v>253117.83</v>
      </c>
      <c r="AX33" s="158">
        <f t="shared" ca="1" si="50"/>
        <v>240065.62</v>
      </c>
      <c r="AY33"/>
      <c r="AZ33" s="159"/>
      <c r="BA33"/>
      <c r="BB33"/>
      <c r="BC33"/>
      <c r="BD33"/>
      <c r="BE33"/>
      <c r="BF33"/>
      <c r="BG33"/>
      <c r="BH33"/>
    </row>
    <row r="35" spans="1:64" x14ac:dyDescent="0.25">
      <c r="A35" s="185"/>
      <c r="C35" s="162"/>
      <c r="D35" s="162"/>
      <c r="E35" s="151"/>
      <c r="G35" s="123">
        <f t="shared" si="38"/>
        <v>5</v>
      </c>
      <c r="H35" s="124">
        <f t="shared" si="39"/>
        <v>-63333.099999999991</v>
      </c>
      <c r="I35" s="123">
        <f t="shared" ca="1" si="40"/>
        <v>773102.96</v>
      </c>
      <c r="J35" s="123"/>
      <c r="K35" s="123">
        <f t="shared" si="47"/>
        <v>7</v>
      </c>
      <c r="L35" s="124">
        <f t="shared" si="42"/>
        <v>-91246.700000000012</v>
      </c>
      <c r="M35" s="123">
        <f t="shared" ca="1" si="43"/>
        <v>-697144.05999999994</v>
      </c>
      <c r="O35" s="189">
        <f t="shared" ref="O35:T35" si="51">O33-O32</f>
        <v>1</v>
      </c>
      <c r="P35" s="189">
        <f t="shared" si="51"/>
        <v>1</v>
      </c>
      <c r="Q35" s="189">
        <f t="shared" si="51"/>
        <v>1</v>
      </c>
      <c r="R35" s="189">
        <f t="shared" si="51"/>
        <v>1</v>
      </c>
      <c r="S35" s="189">
        <f t="shared" si="51"/>
        <v>1</v>
      </c>
      <c r="T35" s="189">
        <f t="shared" si="51"/>
        <v>1</v>
      </c>
      <c r="U35" s="189">
        <f t="shared" ref="U35:Z35" si="52">U33-U32</f>
        <v>1</v>
      </c>
      <c r="V35" s="189">
        <f t="shared" si="52"/>
        <v>1</v>
      </c>
      <c r="W35" s="189">
        <f t="shared" si="52"/>
        <v>1</v>
      </c>
      <c r="X35" s="189">
        <f t="shared" si="52"/>
        <v>1</v>
      </c>
      <c r="Y35" s="189">
        <f t="shared" si="52"/>
        <v>1</v>
      </c>
      <c r="Z35" s="189">
        <f t="shared" si="52"/>
        <v>1</v>
      </c>
      <c r="AA35" s="339">
        <f>AA32-AA30</f>
        <v>-13182.900000000001</v>
      </c>
      <c r="AB35" s="172">
        <f t="shared" ref="AB35:AL35" si="53">+AB32-AB30</f>
        <v>-13395.900000000001</v>
      </c>
      <c r="AC35" s="172">
        <f t="shared" si="53"/>
        <v>-12191.800000000001</v>
      </c>
      <c r="AD35" s="172">
        <f t="shared" si="53"/>
        <v>-14343.800000000001</v>
      </c>
      <c r="AE35" s="172">
        <f t="shared" si="53"/>
        <v>-15460.1</v>
      </c>
      <c r="AF35" s="172">
        <f t="shared" si="53"/>
        <v>-12236.5</v>
      </c>
      <c r="AG35" s="172">
        <f t="shared" si="53"/>
        <v>-12279.599999999999</v>
      </c>
      <c r="AH35" s="172">
        <f t="shared" si="53"/>
        <v>-11339</v>
      </c>
      <c r="AI35" s="172">
        <f t="shared" si="53"/>
        <v>-12191.899999999994</v>
      </c>
      <c r="AJ35" s="172">
        <f t="shared" si="53"/>
        <v>-13486.899999999998</v>
      </c>
      <c r="AK35" s="172">
        <f t="shared" si="53"/>
        <v>-12279.599999999999</v>
      </c>
      <c r="AL35" s="172">
        <f t="shared" si="53"/>
        <v>-12191.799999999997</v>
      </c>
      <c r="AM35" s="172">
        <f t="shared" ref="AM35:AR35" ca="1" si="54">+AM32-AM33</f>
        <v>-239029.51</v>
      </c>
      <c r="AN35" s="172">
        <f t="shared" ca="1" si="54"/>
        <v>-234018.11</v>
      </c>
      <c r="AO35" s="172">
        <f t="shared" ca="1" si="54"/>
        <v>-232742.54</v>
      </c>
      <c r="AP35" s="172">
        <f t="shared" ca="1" si="54"/>
        <v>-229763.71</v>
      </c>
      <c r="AQ35" s="172">
        <f t="shared" ca="1" si="54"/>
        <v>-248457.85</v>
      </c>
      <c r="AR35" s="172">
        <f t="shared" ca="1" si="54"/>
        <v>-239159.11</v>
      </c>
      <c r="AS35" s="172">
        <f t="shared" ref="AS35:AX35" ca="1" si="55">AS33-AS32</f>
        <v>243658.43</v>
      </c>
      <c r="AT35" s="172">
        <f t="shared" ca="1" si="55"/>
        <v>243338.83</v>
      </c>
      <c r="AU35" s="172">
        <f t="shared" ca="1" si="55"/>
        <v>254219.51</v>
      </c>
      <c r="AV35" s="172">
        <f t="shared" ca="1" si="55"/>
        <v>264729.51</v>
      </c>
      <c r="AW35" s="172">
        <f t="shared" ca="1" si="55"/>
        <v>253117.83</v>
      </c>
      <c r="AX35" s="172">
        <f t="shared" ca="1" si="55"/>
        <v>240065.62</v>
      </c>
      <c r="AY35"/>
    </row>
    <row r="36" spans="1:64" x14ac:dyDescent="0.25">
      <c r="A36" s="185"/>
      <c r="B36" s="116" t="s">
        <v>299</v>
      </c>
      <c r="C36" s="388"/>
      <c r="D36" s="389"/>
      <c r="E36" s="388"/>
      <c r="F36" s="117"/>
      <c r="G36" s="118"/>
      <c r="H36" s="118"/>
      <c r="I36" s="117"/>
      <c r="J36" s="117"/>
      <c r="K36" s="117"/>
      <c r="L36" s="118"/>
      <c r="M36" s="117"/>
      <c r="O36" s="173"/>
      <c r="P36" s="173"/>
      <c r="Q36" s="173"/>
      <c r="R36" s="173"/>
      <c r="S36" s="173"/>
      <c r="T36" s="173"/>
      <c r="U36" s="117"/>
      <c r="V36" s="117"/>
      <c r="W36" s="117"/>
      <c r="X36" s="117"/>
      <c r="Y36" s="117"/>
      <c r="Z36" s="117"/>
      <c r="AA36" s="174"/>
      <c r="AB36" s="174"/>
      <c r="AC36" s="174"/>
      <c r="AD36" s="175"/>
      <c r="AE36" s="175"/>
      <c r="AF36" s="175"/>
      <c r="AG36" s="173"/>
      <c r="AH36" s="173"/>
      <c r="AI36" s="173"/>
      <c r="AJ36" s="173"/>
      <c r="AK36" s="173"/>
      <c r="AL36" s="173"/>
      <c r="AS36" s="175"/>
      <c r="AT36" s="175"/>
      <c r="AU36" s="175"/>
      <c r="AV36" s="175"/>
      <c r="AW36" s="175"/>
      <c r="AX36" s="175"/>
      <c r="AY36"/>
    </row>
    <row r="37" spans="1:64" x14ac:dyDescent="0.25">
      <c r="A37" s="185" t="s">
        <v>28</v>
      </c>
      <c r="B37" s="150" t="s">
        <v>501</v>
      </c>
      <c r="C37" s="151">
        <f>SUM(O37:Z37)</f>
        <v>0</v>
      </c>
      <c r="D37" s="162">
        <f t="shared" si="37"/>
        <v>0</v>
      </c>
      <c r="E37" s="151">
        <f t="shared" ref="E37:E45" si="56">SUM(AM37:AX37)</f>
        <v>0</v>
      </c>
      <c r="F37" s="151"/>
      <c r="G37" s="123">
        <f t="shared" si="38"/>
        <v>0</v>
      </c>
      <c r="H37" s="124">
        <f t="shared" si="39"/>
        <v>0</v>
      </c>
      <c r="I37" s="123">
        <f t="shared" si="40"/>
        <v>0</v>
      </c>
      <c r="J37" s="123"/>
      <c r="K37" s="123">
        <f t="shared" si="47"/>
        <v>0</v>
      </c>
      <c r="L37" s="124">
        <f t="shared" si="42"/>
        <v>0</v>
      </c>
      <c r="M37" s="123">
        <f t="shared" si="43"/>
        <v>0</v>
      </c>
      <c r="O37" s="125">
        <f>SUMIFS('Jul17-Jun18 Transport'!$I$7:$I$89,'Jul17-Jun18 Transport'!$D$7:$D$89,SBR!O$4,'Jul17-Jun18 Transport'!$E$7:$E$89,SBR!$A$37)+SUMIFS('Jul17-Jun18 Transport'!$J$7:$J$89,'Jul17-Jun18 Transport'!$D$7:$D$89,SBR!O$4,'Jul17-Jun18 Transport'!$E$7:$E$89,SBR!$A$37)</f>
        <v>0</v>
      </c>
      <c r="P37" s="125">
        <f>SUMIFS('Jul17-Jun18 Transport'!$I$7:$I$89,'Jul17-Jun18 Transport'!$D$7:$D$89,SBR!P$4,'Jul17-Jun18 Transport'!$E$7:$E$89,SBR!$A$37)+SUMIFS('Jul17-Jun18 Transport'!$J$7:$J$89,'Jul17-Jun18 Transport'!$D$7:$D$89,SBR!P$4,'Jul17-Jun18 Transport'!$E$7:$E$89,SBR!$A$37)</f>
        <v>0</v>
      </c>
      <c r="Q37" s="125">
        <f>SUMIFS('Jul17-Jun18 Transport'!$I$7:$I$89,'Jul17-Jun18 Transport'!$D$7:$D$89,SBR!Q$4,'Jul17-Jun18 Transport'!$E$7:$E$89,SBR!$A$37)+SUMIFS('Jul17-Jun18 Transport'!$J$7:$J$89,'Jul17-Jun18 Transport'!$D$7:$D$89,SBR!Q$4,'Jul17-Jun18 Transport'!$E$7:$E$89,SBR!$A$37)</f>
        <v>0</v>
      </c>
      <c r="R37" s="125">
        <f>SUMIFS('Jul17-Jun18 Transport'!$I$7:$I$89,'Jul17-Jun18 Transport'!$D$7:$D$89,SBR!R$4,'Jul17-Jun18 Transport'!$E$7:$E$89,SBR!$A$37)+SUMIFS('Jul17-Jun18 Transport'!$J$7:$J$89,'Jul17-Jun18 Transport'!$D$7:$D$89,SBR!R$4,'Jul17-Jun18 Transport'!$E$7:$E$89,SBR!$A$37)</f>
        <v>0</v>
      </c>
      <c r="S37" s="125">
        <f>SUMIFS('Jul17-Jun18 Transport'!$I$7:$I$89,'Jul17-Jun18 Transport'!$D$7:$D$89,SBR!S$4,'Jul17-Jun18 Transport'!$E$7:$E$89,SBR!$A$37)+SUMIFS('Jul17-Jun18 Transport'!$J$7:$J$89,'Jul17-Jun18 Transport'!$D$7:$D$89,SBR!S$4,'Jul17-Jun18 Transport'!$E$7:$E$89,SBR!$A$37)</f>
        <v>0</v>
      </c>
      <c r="T37" s="125">
        <f>SUMIFS('Jul17-Jun18 Transport'!$I$7:$I$89,'Jul17-Jun18 Transport'!$D$7:$D$89,SBR!T$4,'Jul17-Jun18 Transport'!$E$7:$E$89,SBR!$A$37)+SUMIFS('Jul17-Jun18 Transport'!$J$7:$J$89,'Jul17-Jun18 Transport'!$D$7:$D$89,SBR!T$4,'Jul17-Jun18 Transport'!$E$7:$E$89,SBR!$A$37)</f>
        <v>0</v>
      </c>
      <c r="U37" s="125">
        <f>SUMIFS('Jul17-Jun18 Transport'!$I$7:$I$89,'Jul17-Jun18 Transport'!$D$7:$D$89,SBR!U$4,'Jul17-Jun18 Transport'!$E$7:$E$89,SBR!$A$37)+SUMIFS('Jul17-Jun18 Transport'!$J$7:$J$89,'Jul17-Jun18 Transport'!$D$7:$D$89,SBR!U$4,'Jul17-Jun18 Transport'!$E$7:$E$89,SBR!$A$37)</f>
        <v>0</v>
      </c>
      <c r="V37" s="125">
        <f>SUMIFS('Jul17-Jun18 Transport'!$I$7:$I$89,'Jul17-Jun18 Transport'!$D$7:$D$89,SBR!V$4,'Jul17-Jun18 Transport'!$E$7:$E$89,SBR!$A$37)+SUMIFS('Jul17-Jun18 Transport'!$J$7:$J$89,'Jul17-Jun18 Transport'!$D$7:$D$89,SBR!V$4,'Jul17-Jun18 Transport'!$E$7:$E$89,SBR!$A$37)</f>
        <v>0</v>
      </c>
      <c r="W37" s="125">
        <f>SUMIFS('Jul17-Jun18 Transport'!$I$7:$I$89,'Jul17-Jun18 Transport'!$D$7:$D$89,SBR!W$4,'Jul17-Jun18 Transport'!$E$7:$E$89,SBR!$A$37)+SUMIFS('Jul17-Jun18 Transport'!$J$7:$J$89,'Jul17-Jun18 Transport'!$D$7:$D$89,SBR!W$4,'Jul17-Jun18 Transport'!$E$7:$E$89,SBR!$A$37)</f>
        <v>0</v>
      </c>
      <c r="X37" s="125">
        <f>SUMIFS('Jul17-Jun18 Transport'!$I$7:$I$89,'Jul17-Jun18 Transport'!$D$7:$D$89,SBR!X$4,'Jul17-Jun18 Transport'!$E$7:$E$89,SBR!$A$37)+SUMIFS('Jul17-Jun18 Transport'!$J$7:$J$89,'Jul17-Jun18 Transport'!$D$7:$D$89,SBR!X$4,'Jul17-Jun18 Transport'!$E$7:$E$89,SBR!$A$37)</f>
        <v>0</v>
      </c>
      <c r="Y37" s="125">
        <f>SUMIFS('Jul17-Jun18 Transport'!$I$7:$I$89,'Jul17-Jun18 Transport'!$D$7:$D$89,SBR!Y$4,'Jul17-Jun18 Transport'!$E$7:$E$89,SBR!$A$37)+SUMIFS('Jul17-Jun18 Transport'!$J$7:$J$89,'Jul17-Jun18 Transport'!$D$7:$D$89,SBR!Y$4,'Jul17-Jun18 Transport'!$E$7:$E$89,SBR!$A$37)</f>
        <v>0</v>
      </c>
      <c r="Z37" s="125">
        <f>SUMIFS('Jul17-Jun18 Transport'!$I$7:$I$89,'Jul17-Jun18 Transport'!$D$7:$D$89,SBR!Z$4,'Jul17-Jun18 Transport'!$E$7:$E$89,SBR!$A$37)+SUMIFS('Jul17-Jun18 Transport'!$J$7:$J$89,'Jul17-Jun18 Transport'!$D$7:$D$89,SBR!Z$4,'Jul17-Jun18 Transport'!$E$7:$E$89,SBR!$A$37)</f>
        <v>0</v>
      </c>
      <c r="AA37" s="121">
        <f>SUMIFS('Jul17-Jun18 Transport'!$K$7:$K$89,'Jul17-Jun18 Transport'!$D$7:$D$89,SBR!AA$4,'Jul17-Jun18 Transport'!$E$7:$E$89,SBR!$A$37)*1</f>
        <v>0</v>
      </c>
      <c r="AB37" s="121">
        <f>SUMIFS('Jul17-Jun18 Transport'!$K$7:$K$89,'Jul17-Jun18 Transport'!$D$7:$D$89,SBR!AB$4,'Jul17-Jun18 Transport'!$E$7:$E$89,SBR!$A$37)*1</f>
        <v>0</v>
      </c>
      <c r="AC37" s="121">
        <f>SUMIFS('Jul17-Jun18 Transport'!$K$7:$K$89,'Jul17-Jun18 Transport'!$D$7:$D$89,SBR!AC$4,'Jul17-Jun18 Transport'!$E$7:$E$89,SBR!$A$37)*1</f>
        <v>0</v>
      </c>
      <c r="AD37" s="121">
        <f>SUMIFS('Jul17-Jun18 Transport'!$K$7:$K$89,'Jul17-Jun18 Transport'!$D$7:$D$89,SBR!AD$4,'Jul17-Jun18 Transport'!$E$7:$E$89,SBR!$A$37)*1</f>
        <v>0</v>
      </c>
      <c r="AE37" s="121">
        <f>SUMIFS('Jul17-Jun18 Transport'!$K$7:$K$89,'Jul17-Jun18 Transport'!$D$7:$D$89,SBR!AE$4,'Jul17-Jun18 Transport'!$E$7:$E$89,SBR!$A$37)*1</f>
        <v>0</v>
      </c>
      <c r="AF37" s="121">
        <f>SUMIFS('Jul17-Jun18 Transport'!$K$7:$K$89,'Jul17-Jun18 Transport'!$D$7:$D$89,SBR!AF$4,'Jul17-Jun18 Transport'!$E$7:$E$89,SBR!$A$37)*1</f>
        <v>0</v>
      </c>
      <c r="AG37" s="121">
        <f>SUMIFS('Jul17-Jun18 Transport'!$K$7:$K$89,'Jul17-Jun18 Transport'!$D$7:$D$89,SBR!AG$4,'Jul17-Jun18 Transport'!$E$7:$E$89,SBR!$A$37)*1</f>
        <v>0</v>
      </c>
      <c r="AH37" s="121">
        <f>SUMIFS('Jul17-Jun18 Transport'!$K$7:$K$89,'Jul17-Jun18 Transport'!$D$7:$D$89,SBR!AH$4,'Jul17-Jun18 Transport'!$E$7:$E$89,SBR!$A$37)*1</f>
        <v>0</v>
      </c>
      <c r="AI37" s="121">
        <f>SUMIFS('Jul17-Jun18 Transport'!$K$7:$K$89,'Jul17-Jun18 Transport'!$D$7:$D$89,SBR!AI$4,'Jul17-Jun18 Transport'!$E$7:$E$89,SBR!$A$37)*1</f>
        <v>0</v>
      </c>
      <c r="AJ37" s="121">
        <f>SUMIFS('Jul17-Jun18 Transport'!$K$7:$K$89,'Jul17-Jun18 Transport'!$D$7:$D$89,SBR!AJ$4,'Jul17-Jun18 Transport'!$E$7:$E$89,SBR!$A$37)*1</f>
        <v>0</v>
      </c>
      <c r="AK37" s="121">
        <f>SUMIFS('Jul17-Jun18 Transport'!$K$7:$K$89,'Jul17-Jun18 Transport'!$D$7:$D$89,SBR!AK$4,'Jul17-Jun18 Transport'!$E$7:$E$89,SBR!$A$37)*1</f>
        <v>0</v>
      </c>
      <c r="AL37" s="121">
        <f>SUMIFS('Jul17-Jun18 Transport'!$K$7:$K$89,'Jul17-Jun18 Transport'!$D$7:$D$89,SBR!AL$4,'Jul17-Jun18 Transport'!$E$7:$E$89,SBR!$A$37)*1</f>
        <v>0</v>
      </c>
      <c r="AM37" s="158">
        <f>SUMIFS('Jul17-Jun18 Transport'!$BC$7:$BC$89,'Jul17-Jun18 Transport'!$D$7:$D$89,SBR!AM$4,'Jul17-Jun18 Transport'!$E$7:$E$89,SBR!$A$37)</f>
        <v>0</v>
      </c>
      <c r="AN37" s="158">
        <f>SUMIFS('Jul17-Jun18 Transport'!$BC$7:$BC$89,'Jul17-Jun18 Transport'!$D$7:$D$89,SBR!AN$4,'Jul17-Jun18 Transport'!$E$7:$E$89,SBR!$A$37)</f>
        <v>0</v>
      </c>
      <c r="AO37" s="158">
        <f>SUMIFS('Jul17-Jun18 Transport'!$BC$7:$BC$89,'Jul17-Jun18 Transport'!$D$7:$D$89,SBR!AO$4,'Jul17-Jun18 Transport'!$E$7:$E$89,SBR!$A$37)</f>
        <v>0</v>
      </c>
      <c r="AP37" s="158">
        <f>SUMIFS('Jul17-Jun18 Transport'!$BC$7:$BC$89,'Jul17-Jun18 Transport'!$D$7:$D$89,SBR!AP$4,'Jul17-Jun18 Transport'!$E$7:$E$89,SBR!$A$37)</f>
        <v>0</v>
      </c>
      <c r="AQ37" s="158">
        <f>SUMIFS('Jul17-Jun18 Transport'!$BC$7:$BC$89,'Jul17-Jun18 Transport'!$D$7:$D$89,SBR!AQ$4,'Jul17-Jun18 Transport'!$E$7:$E$89,SBR!$A$37)</f>
        <v>0</v>
      </c>
      <c r="AR37" s="158">
        <f>SUMIFS('Jul17-Jun18 Transport'!$BC$7:$BC$89,'Jul17-Jun18 Transport'!$D$7:$D$89,SBR!AR$4,'Jul17-Jun18 Transport'!$E$7:$E$89,SBR!$A$37)</f>
        <v>0</v>
      </c>
      <c r="AS37" s="158">
        <f>SUMIFS('Jul17-Jun18 Transport'!$BC$7:$BC$89,'Jul17-Jun18 Transport'!$D$7:$D$89,SBR!AS$4,'Jul17-Jun18 Transport'!$E$7:$E$89,SBR!$A$37)</f>
        <v>0</v>
      </c>
      <c r="AT37" s="158">
        <f>SUMIFS('Jul17-Jun18 Transport'!$BC$7:$BC$89,'Jul17-Jun18 Transport'!$D$7:$D$89,SBR!AT$4,'Jul17-Jun18 Transport'!$E$7:$E$89,SBR!$A$37)</f>
        <v>0</v>
      </c>
      <c r="AU37" s="158">
        <f>SUMIFS('Jul17-Jun18 Transport'!$BC$7:$BC$89,'Jul17-Jun18 Transport'!$D$7:$D$89,SBR!AU$4,'Jul17-Jun18 Transport'!$E$7:$E$89,SBR!$A$37)</f>
        <v>0</v>
      </c>
      <c r="AV37" s="158">
        <f>SUMIFS('Jul17-Jun18 Transport'!$BC$7:$BC$89,'Jul17-Jun18 Transport'!$D$7:$D$89,SBR!AV$4,'Jul17-Jun18 Transport'!$E$7:$E$89,SBR!$A$37)</f>
        <v>0</v>
      </c>
      <c r="AW37" s="158">
        <f>SUMIFS('Jul17-Jun18 Transport'!$BC$7:$BC$89,'Jul17-Jun18 Transport'!$D$7:$D$89,SBR!AW$4,'Jul17-Jun18 Transport'!$E$7:$E$89,SBR!$A$37)</f>
        <v>0</v>
      </c>
      <c r="AX37" s="158">
        <f>SUMIFS('Jul17-Jun18 Transport'!$BC$7:$BC$89,'Jul17-Jun18 Transport'!$D$7:$D$89,SBR!AX$4,'Jul17-Jun18 Transport'!$E$7:$E$89,SBR!$A$37)</f>
        <v>0</v>
      </c>
      <c r="AY37"/>
    </row>
    <row r="38" spans="1:64" x14ac:dyDescent="0.25">
      <c r="A38" s="185" t="s">
        <v>31</v>
      </c>
      <c r="B38" s="150" t="s">
        <v>502</v>
      </c>
      <c r="C38" s="151">
        <f t="shared" ref="C38:C41" si="57">SUM(O38:Z38)</f>
        <v>60</v>
      </c>
      <c r="D38" s="162">
        <f t="shared" si="37"/>
        <v>459927.30376795534</v>
      </c>
      <c r="E38" s="151">
        <f t="shared" ca="1" si="56"/>
        <v>1045333.22</v>
      </c>
      <c r="F38" s="151"/>
      <c r="G38" s="123">
        <f t="shared" si="38"/>
        <v>25</v>
      </c>
      <c r="H38" s="124">
        <f t="shared" si="39"/>
        <v>161145.52951438472</v>
      </c>
      <c r="I38" s="123">
        <f t="shared" ca="1" si="40"/>
        <v>353953.72</v>
      </c>
      <c r="J38" s="123"/>
      <c r="K38" s="123">
        <f t="shared" si="47"/>
        <v>35</v>
      </c>
      <c r="L38" s="124">
        <f t="shared" si="42"/>
        <v>298781.77425357065</v>
      </c>
      <c r="M38" s="123">
        <f t="shared" ca="1" si="43"/>
        <v>691379.50000000012</v>
      </c>
      <c r="O38" s="125">
        <f>SUMIFS('Jul17-Jun18 Transport'!$I$7:$I$89,'Jul17-Jun18 Transport'!$D$7:$D$89,SBR!O$4,'Jul17-Jun18 Transport'!$E$7:$E$89,SBR!$A$38)+SUMIFS('Jul17-Jun18 Transport'!$J$7:$J$89,'Jul17-Jun18 Transport'!$D$7:$D$89,SBR!O$4,'Jul17-Jun18 Transport'!$E$7:$E$89,SBR!$A$38)</f>
        <v>5</v>
      </c>
      <c r="P38" s="125">
        <f>SUMIFS('Jul17-Jun18 Transport'!$I$7:$I$89,'Jul17-Jun18 Transport'!$D$7:$D$89,SBR!P$4,'Jul17-Jun18 Transport'!$E$7:$E$89,SBR!$A$38)+SUMIFS('Jul17-Jun18 Transport'!$J$7:$J$89,'Jul17-Jun18 Transport'!$D$7:$D$89,SBR!P$4,'Jul17-Jun18 Transport'!$E$7:$E$89,SBR!$A$38)</f>
        <v>5</v>
      </c>
      <c r="Q38" s="125">
        <f>SUMIFS('Jul17-Jun18 Transport'!$I$7:$I$89,'Jul17-Jun18 Transport'!$D$7:$D$89,SBR!Q$4,'Jul17-Jun18 Transport'!$E$7:$E$89,SBR!$A$38)+SUMIFS('Jul17-Jun18 Transport'!$J$7:$J$89,'Jul17-Jun18 Transport'!$D$7:$D$89,SBR!Q$4,'Jul17-Jun18 Transport'!$E$7:$E$89,SBR!$A$38)</f>
        <v>5</v>
      </c>
      <c r="R38" s="125">
        <f>SUMIFS('Jul17-Jun18 Transport'!$I$7:$I$89,'Jul17-Jun18 Transport'!$D$7:$D$89,SBR!R$4,'Jul17-Jun18 Transport'!$E$7:$E$89,SBR!$A$38)+SUMIFS('Jul17-Jun18 Transport'!$J$7:$J$89,'Jul17-Jun18 Transport'!$D$7:$D$89,SBR!R$4,'Jul17-Jun18 Transport'!$E$7:$E$89,SBR!$A$38)</f>
        <v>5</v>
      </c>
      <c r="S38" s="125">
        <f>SUMIFS('Jul17-Jun18 Transport'!$I$7:$I$89,'Jul17-Jun18 Transport'!$D$7:$D$89,SBR!S$4,'Jul17-Jun18 Transport'!$E$7:$E$89,SBR!$A$38)+SUMIFS('Jul17-Jun18 Transport'!$J$7:$J$89,'Jul17-Jun18 Transport'!$D$7:$D$89,SBR!S$4,'Jul17-Jun18 Transport'!$E$7:$E$89,SBR!$A$38)</f>
        <v>5</v>
      </c>
      <c r="T38" s="125">
        <f>SUMIFS('Jul17-Jun18 Transport'!$I$7:$I$89,'Jul17-Jun18 Transport'!$D$7:$D$89,SBR!T$4,'Jul17-Jun18 Transport'!$E$7:$E$89,SBR!$A$38)+SUMIFS('Jul17-Jun18 Transport'!$J$7:$J$89,'Jul17-Jun18 Transport'!$D$7:$D$89,SBR!T$4,'Jul17-Jun18 Transport'!$E$7:$E$89,SBR!$A$38)</f>
        <v>5</v>
      </c>
      <c r="U38" s="125">
        <f>SUMIFS('Jul17-Jun18 Transport'!$I$7:$I$89,'Jul17-Jun18 Transport'!$D$7:$D$89,SBR!U$4,'Jul17-Jun18 Transport'!$E$7:$E$89,SBR!$A$38)+SUMIFS('Jul17-Jun18 Transport'!$J$7:$J$89,'Jul17-Jun18 Transport'!$D$7:$D$89,SBR!U$4,'Jul17-Jun18 Transport'!$E$7:$E$89,SBR!$A$38)</f>
        <v>5</v>
      </c>
      <c r="V38" s="125">
        <f>SUMIFS('Jul17-Jun18 Transport'!$I$7:$I$89,'Jul17-Jun18 Transport'!$D$7:$D$89,SBR!V$4,'Jul17-Jun18 Transport'!$E$7:$E$89,SBR!$A$38)+SUMIFS('Jul17-Jun18 Transport'!$J$7:$J$89,'Jul17-Jun18 Transport'!$D$7:$D$89,SBR!V$4,'Jul17-Jun18 Transport'!$E$7:$E$89,SBR!$A$38)</f>
        <v>5</v>
      </c>
      <c r="W38" s="125">
        <f>SUMIFS('Jul17-Jun18 Transport'!$I$7:$I$89,'Jul17-Jun18 Transport'!$D$7:$D$89,SBR!W$4,'Jul17-Jun18 Transport'!$E$7:$E$89,SBR!$A$38)+SUMIFS('Jul17-Jun18 Transport'!$J$7:$J$89,'Jul17-Jun18 Transport'!$D$7:$D$89,SBR!W$4,'Jul17-Jun18 Transport'!$E$7:$E$89,SBR!$A$38)</f>
        <v>5</v>
      </c>
      <c r="X38" s="125">
        <f>SUMIFS('Jul17-Jun18 Transport'!$I$7:$I$89,'Jul17-Jun18 Transport'!$D$7:$D$89,SBR!X$4,'Jul17-Jun18 Transport'!$E$7:$E$89,SBR!$A$38)+SUMIFS('Jul17-Jun18 Transport'!$J$7:$J$89,'Jul17-Jun18 Transport'!$D$7:$D$89,SBR!X$4,'Jul17-Jun18 Transport'!$E$7:$E$89,SBR!$A$38)</f>
        <v>5</v>
      </c>
      <c r="Y38" s="125">
        <f>SUMIFS('Jul17-Jun18 Transport'!$I$7:$I$89,'Jul17-Jun18 Transport'!$D$7:$D$89,SBR!Y$4,'Jul17-Jun18 Transport'!$E$7:$E$89,SBR!$A$38)+SUMIFS('Jul17-Jun18 Transport'!$J$7:$J$89,'Jul17-Jun18 Transport'!$D$7:$D$89,SBR!Y$4,'Jul17-Jun18 Transport'!$E$7:$E$89,SBR!$A$38)</f>
        <v>5</v>
      </c>
      <c r="Z38" s="125">
        <f>SUMIFS('Jul17-Jun18 Transport'!$I$7:$I$89,'Jul17-Jun18 Transport'!$D$7:$D$89,SBR!Z$4,'Jul17-Jun18 Transport'!$E$7:$E$89,SBR!$A$38)+SUMIFS('Jul17-Jun18 Transport'!$J$7:$J$89,'Jul17-Jun18 Transport'!$D$7:$D$89,SBR!Z$4,'Jul17-Jun18 Transport'!$E$7:$E$89,SBR!$A$38)</f>
        <v>5</v>
      </c>
      <c r="AA38" s="121">
        <f>(SUMIFS('Jul17-Jun18 Transport'!$K$7:$K$89,'Jul17-Jun18 Transport'!$D$7:$D$89,SBR!AA$4,'Jul17-Jun18 Transport'!$E$7:$E$89,SBR!$A$38)+SUMIFS('Jul17-Jun18 Transport'!$L$7:$L$89,'Jul17-Jun18 Transport'!$D$7:$D$89,SBR!AA$4,'Jul17-Jun18 Transport'!$E$7:$E$89,SBR!$A$38))*0.1</f>
        <v>43062.129308951269</v>
      </c>
      <c r="AB38" s="121">
        <f>(SUMIFS('Jul17-Jun18 Transport'!$K$7:$K$89,'Jul17-Jun18 Transport'!$D$7:$D$89,SBR!AB$4,'Jul17-Jun18 Transport'!$E$7:$E$89,SBR!$A$38)+SUMIFS('Jul17-Jun18 Transport'!$L$7:$L$89,'Jul17-Jun18 Transport'!$D$7:$D$89,SBR!AB$4,'Jul17-Jun18 Transport'!$E$7:$E$89,SBR!$A$38))*0.1</f>
        <v>33815.64415878553</v>
      </c>
      <c r="AC38" s="121">
        <f>(SUMIFS('Jul17-Jun18 Transport'!$K$7:$K$89,'Jul17-Jun18 Transport'!$D$7:$D$89,SBR!AC$4,'Jul17-Jun18 Transport'!$E$7:$E$89,SBR!$A$38)+SUMIFS('Jul17-Jun18 Transport'!$L$7:$L$89,'Jul17-Jun18 Transport'!$D$7:$D$89,SBR!AC$4,'Jul17-Jun18 Transport'!$E$7:$E$89,SBR!$A$38))*0.1</f>
        <v>42640.851385407259</v>
      </c>
      <c r="AD38" s="121">
        <f>(SUMIFS('Jul17-Jun18 Transport'!$K$7:$K$89,'Jul17-Jun18 Transport'!$D$7:$D$89,SBR!AD$4,'Jul17-Jun18 Transport'!$E$7:$E$89,SBR!$A$38)+SUMIFS('Jul17-Jun18 Transport'!$L$7:$L$89,'Jul17-Jun18 Transport'!$D$7:$D$89,SBR!AD$4,'Jul17-Jun18 Transport'!$E$7:$E$89,SBR!$A$38))*0.1</f>
        <v>67640.584847279737</v>
      </c>
      <c r="AE38" s="121">
        <f>(SUMIFS('Jul17-Jun18 Transport'!$K$7:$K$89,'Jul17-Jun18 Transport'!$D$7:$D$89,SBR!AE$4,'Jul17-Jun18 Transport'!$E$7:$E$89,SBR!$A$38)+SUMIFS('Jul17-Jun18 Transport'!$L$7:$L$89,'Jul17-Jun18 Transport'!$D$7:$D$89,SBR!AE$4,'Jul17-Jun18 Transport'!$E$7:$E$89,SBR!$A$38))*0.1</f>
        <v>72583.230218347147</v>
      </c>
      <c r="AF38" s="121">
        <f>(SUMIFS('Jul17-Jun18 Transport'!$K$7:$K$89,'Jul17-Jun18 Transport'!$D$7:$D$89,SBR!AF$4,'Jul17-Jun18 Transport'!$E$7:$E$89,SBR!$A$38)+SUMIFS('Jul17-Jun18 Transport'!$L$7:$L$89,'Jul17-Jun18 Transport'!$D$7:$D$89,SBR!AF$4,'Jul17-Jun18 Transport'!$E$7:$E$89,SBR!$A$38))*0.1</f>
        <v>52392.893146041315</v>
      </c>
      <c r="AG38" s="121">
        <f>(SUMIFS('Jul17-Jun18 Transport'!$K$7:$K$89,'Jul17-Jun18 Transport'!$D$7:$D$89,SBR!AG$4,'Jul17-Jun18 Transport'!$E$7:$E$89,SBR!$A$38)+SUMIFS('Jul17-Jun18 Transport'!$L$7:$L$89,'Jul17-Jun18 Transport'!$D$7:$D$89,SBR!AG$4,'Jul17-Jun18 Transport'!$E$7:$E$89,SBR!$A$38))*0.1</f>
        <v>18120.12729015603</v>
      </c>
      <c r="AH38" s="121">
        <f>(SUMIFS('Jul17-Jun18 Transport'!$K$7:$K$89,'Jul17-Jun18 Transport'!$D$7:$D$89,SBR!AH$4,'Jul17-Jun18 Transport'!$E$7:$E$89,SBR!$A$38)+SUMIFS('Jul17-Jun18 Transport'!$L$7:$L$89,'Jul17-Jun18 Transport'!$D$7:$D$89,SBR!AH$4,'Jul17-Jun18 Transport'!$E$7:$E$89,SBR!$A$38))*0.1</f>
        <v>11588.443207553632</v>
      </c>
      <c r="AI38" s="121">
        <f>(SUMIFS('Jul17-Jun18 Transport'!$K$7:$K$89,'Jul17-Jun18 Transport'!$D$7:$D$89,SBR!AI$4,'Jul17-Jun18 Transport'!$E$7:$E$89,SBR!$A$38)+SUMIFS('Jul17-Jun18 Transport'!$L$7:$L$89,'Jul17-Jun18 Transport'!$D$7:$D$89,SBR!AI$4,'Jul17-Jun18 Transport'!$E$7:$E$89,SBR!$A$38))*0.1</f>
        <v>18502.250969354773</v>
      </c>
      <c r="AJ38" s="121">
        <f>(SUMIFS('Jul17-Jun18 Transport'!$K$7:$K$89,'Jul17-Jun18 Transport'!$D$7:$D$89,SBR!AJ$4,'Jul17-Jun18 Transport'!$E$7:$E$89,SBR!$A$38)+SUMIFS('Jul17-Jun18 Transport'!$L$7:$L$89,'Jul17-Jun18 Transport'!$D$7:$D$89,SBR!AJ$4,'Jul17-Jun18 Transport'!$E$7:$E$89,SBR!$A$38))*0.1</f>
        <v>32597.663380023874</v>
      </c>
      <c r="AK38" s="121">
        <f>(SUMIFS('Jul17-Jun18 Transport'!$K$7:$K$89,'Jul17-Jun18 Transport'!$D$7:$D$89,SBR!AK$4,'Jul17-Jun18 Transport'!$E$7:$E$89,SBR!$A$38)+SUMIFS('Jul17-Jun18 Transport'!$L$7:$L$89,'Jul17-Jun18 Transport'!$D$7:$D$89,SBR!AK$4,'Jul17-Jun18 Transport'!$E$7:$E$89,SBR!$A$38))*0.1</f>
        <v>32606.717370365375</v>
      </c>
      <c r="AL38" s="121">
        <f>(SUMIFS('Jul17-Jun18 Transport'!$K$7:$K$89,'Jul17-Jun18 Transport'!$D$7:$D$89,SBR!AL$4,'Jul17-Jun18 Transport'!$E$7:$E$89,SBR!$A$38)+SUMIFS('Jul17-Jun18 Transport'!$L$7:$L$89,'Jul17-Jun18 Transport'!$D$7:$D$89,SBR!AL$4,'Jul17-Jun18 Transport'!$E$7:$E$89,SBR!$A$38))*0.1</f>
        <v>34376.768485689412</v>
      </c>
      <c r="AM38" s="158">
        <f ca="1">SUMIFS('Jul17-Jun18 Transport'!$BC$7:$BC$89,'Jul17-Jun18 Transport'!$D$7:$D$89,SBR!AM$4,'Jul17-Jun18 Transport'!$E$7:$E$89,SBR!$A$38)-AM49</f>
        <v>91314.54</v>
      </c>
      <c r="AN38" s="158">
        <f ca="1">SUMIFS('Jul17-Jun18 Transport'!$BC$7:$BC$89,'Jul17-Jun18 Transport'!$D$7:$D$89,SBR!AN$4,'Jul17-Jun18 Transport'!$E$7:$E$89,SBR!$A$38)-AN49</f>
        <v>73051.97</v>
      </c>
      <c r="AO38" s="158">
        <f ca="1">SUMIFS('Jul17-Jun18 Transport'!$BC$7:$BC$89,'Jul17-Jun18 Transport'!$D$7:$D$89,SBR!AO$4,'Jul17-Jun18 Transport'!$E$7:$E$89,SBR!$A$38)-AO49</f>
        <v>90132.1</v>
      </c>
      <c r="AP38" s="158">
        <f ca="1">SUMIFS('Jul17-Jun18 Transport'!$BC$7:$BC$89,'Jul17-Jun18 Transport'!$D$7:$D$89,SBR!AP$4,'Jul17-Jun18 Transport'!$E$7:$E$89,SBR!$A$38)-AP49</f>
        <v>136566.37</v>
      </c>
      <c r="AQ38" s="158">
        <f ca="1">SUMIFS('Jul17-Jun18 Transport'!$BC$7:$BC$89,'Jul17-Jun18 Transport'!$D$7:$D$89,SBR!AQ$4,'Jul17-Jun18 Transport'!$E$7:$E$89,SBR!$A$38)-AQ49</f>
        <v>181083.76</v>
      </c>
      <c r="AR38" s="158">
        <f ca="1">SUMIFS('Jul17-Jun18 Transport'!$BC$7:$BC$89,'Jul17-Jun18 Transport'!$D$7:$D$89,SBR!AR$4,'Jul17-Jun18 Transport'!$E$7:$E$89,SBR!$A$38)-AR49</f>
        <v>130504.21</v>
      </c>
      <c r="AS38" s="158">
        <f ca="1">SUMIFS('Jul17-Jun18 Transport'!$BC$7:$BC$89,'Jul17-Jun18 Transport'!$D$7:$D$89,SBR!AS$4,'Jul17-Jun18 Transport'!$E$7:$E$89,SBR!$A$38)-AS49</f>
        <v>47944.53</v>
      </c>
      <c r="AT38" s="158">
        <f ca="1">SUMIFS('Jul17-Jun18 Transport'!$BC$7:$BC$89,'Jul17-Jun18 Transport'!$D$7:$D$89,SBR!AT$4,'Jul17-Jun18 Transport'!$E$7:$E$89,SBR!$A$38)-AT49</f>
        <v>32096.560000000001</v>
      </c>
      <c r="AU38" s="158">
        <f ca="1">SUMIFS('Jul17-Jun18 Transport'!$BC$7:$BC$89,'Jul17-Jun18 Transport'!$D$7:$D$89,SBR!AU$4,'Jul17-Jun18 Transport'!$E$7:$E$89,SBR!$A$38)-AU49</f>
        <v>49637.82</v>
      </c>
      <c r="AV38" s="158">
        <f ca="1">SUMIFS('Jul17-Jun18 Transport'!$BC$7:$BC$89,'Jul17-Jun18 Transport'!$D$7:$D$89,SBR!AV$4,'Jul17-Jun18 Transport'!$E$7:$E$89,SBR!$A$38)-AV49</f>
        <v>68473.78</v>
      </c>
      <c r="AW38" s="158">
        <f ca="1">SUMIFS('Jul17-Jun18 Transport'!$BC$7:$BC$89,'Jul17-Jun18 Transport'!$D$7:$D$89,SBR!AW$4,'Jul17-Jun18 Transport'!$E$7:$E$89,SBR!$A$38)-AW49</f>
        <v>69777.84</v>
      </c>
      <c r="AX38" s="158">
        <f ca="1">SUMIFS('Jul17-Jun18 Transport'!$BC$7:$BC$89,'Jul17-Jun18 Transport'!$D$7:$D$89,SBR!AX$4,'Jul17-Jun18 Transport'!$E$7:$E$89,SBR!$A$38)-AX49</f>
        <v>74749.740000000005</v>
      </c>
      <c r="AY38"/>
    </row>
    <row r="39" spans="1:64" x14ac:dyDescent="0.25">
      <c r="A39" s="185" t="s">
        <v>65</v>
      </c>
      <c r="B39" s="150" t="s">
        <v>503</v>
      </c>
      <c r="C39" s="151">
        <f t="shared" si="57"/>
        <v>0</v>
      </c>
      <c r="D39" s="162">
        <f t="shared" si="37"/>
        <v>0</v>
      </c>
      <c r="E39" s="151">
        <f t="shared" si="56"/>
        <v>0</v>
      </c>
      <c r="F39" s="151"/>
      <c r="G39" s="123">
        <f t="shared" si="38"/>
        <v>0</v>
      </c>
      <c r="H39" s="124">
        <f t="shared" si="39"/>
        <v>0</v>
      </c>
      <c r="I39" s="123">
        <f t="shared" si="40"/>
        <v>0</v>
      </c>
      <c r="J39" s="123"/>
      <c r="K39" s="123">
        <f t="shared" si="47"/>
        <v>0</v>
      </c>
      <c r="L39" s="124">
        <f t="shared" si="42"/>
        <v>0</v>
      </c>
      <c r="M39" s="123">
        <f t="shared" si="43"/>
        <v>0</v>
      </c>
      <c r="O39" s="125">
        <f>SUMIFS('Jul17-Jun18 Transport'!$H$7:$H$89,'Jul17-Jun18 Transport'!$D23:$D105,SBR!O$4,'Jul17-Jun18 Transport'!E23:E105,SBR!$A$39)</f>
        <v>0</v>
      </c>
      <c r="P39" s="125">
        <f>SUMIFS('Jul17-Jun18 Transport'!$H$7:$H$89,'Jul17-Jun18 Transport'!$D23:$D105,SBR!P$4,'Jul17-Jun18 Transport'!F23:F105,SBR!$A$39)</f>
        <v>0</v>
      </c>
      <c r="Q39" s="125">
        <f>SUMIFS('Jul17-Jun18 Transport'!$H$7:$H$89,'Jul17-Jun18 Transport'!$D23:$D105,SBR!Q$4,'Jul17-Jun18 Transport'!G23:G105,SBR!$A$39)</f>
        <v>0</v>
      </c>
      <c r="R39" s="125">
        <f>SUMIFS('Jul17-Jun18 Transport'!$H$7:$H$89,'Jul17-Jun18 Transport'!$D23:$D105,SBR!R$4,'Jul17-Jun18 Transport'!H23:H105,SBR!$A$39)</f>
        <v>0</v>
      </c>
      <c r="S39" s="125">
        <f>SUMIFS('Jul17-Jun18 Transport'!$H$7:$H$89,'Jul17-Jun18 Transport'!$D23:$D105,SBR!S$4,'Jul17-Jun18 Transport'!I23:I105,SBR!$A$39)</f>
        <v>0</v>
      </c>
      <c r="T39" s="125">
        <f>SUMIFS('Jul17-Jun18 Transport'!$H$7:$H$89,'Jul17-Jun18 Transport'!$D23:$D105,SBR!T$4,'Jul17-Jun18 Transport'!J23:J105,SBR!$A$39)</f>
        <v>0</v>
      </c>
      <c r="U39" s="125">
        <f>SUMIFS('Jul17-Jun18 Transport'!$H$7:$H$89,'Jul17-Jun18 Transport'!$D23:$D105,SBR!U$4,'Jul17-Jun18 Transport'!K23:K105,SBR!$A$39)</f>
        <v>0</v>
      </c>
      <c r="V39" s="125">
        <f>SUMIFS('Jul17-Jun18 Transport'!$H$7:$H$89,'Jul17-Jun18 Transport'!$D23:$D105,SBR!V$4,'Jul17-Jun18 Transport'!L23:L105,SBR!$A$39)</f>
        <v>0</v>
      </c>
      <c r="W39" s="125">
        <f>SUMIFS('Jul17-Jun18 Transport'!$H$7:$H$89,'Jul17-Jun18 Transport'!$D23:$D105,SBR!W$4,'Jul17-Jun18 Transport'!M23:M105,SBR!$A$39)</f>
        <v>0</v>
      </c>
      <c r="X39" s="125">
        <f>SUMIFS('Jul17-Jun18 Transport'!$H$7:$H$89,'Jul17-Jun18 Transport'!$D23:$D105,SBR!X$4,'Jul17-Jun18 Transport'!N23:N105,SBR!$A$39)</f>
        <v>0</v>
      </c>
      <c r="Y39" s="125">
        <f>SUMIFS('Jul17-Jun18 Transport'!$H$7:$H$89,'Jul17-Jun18 Transport'!$D23:$D105,SBR!Y$4,'Jul17-Jun18 Transport'!O23:O105,SBR!$A$39)</f>
        <v>0</v>
      </c>
      <c r="Z39" s="125">
        <f>SUMIFS('Jul17-Jun18 Transport'!$H$7:$H$89,'Jul17-Jun18 Transport'!$D23:$D105,SBR!Z$4,'Jul17-Jun18 Transport'!P23:P105,SBR!$A$39)</f>
        <v>0</v>
      </c>
      <c r="AA39" s="121">
        <f>SUMIFS('Jul17-Jun18 Transport'!$K$7:$K$89,'Jul17-Jun18 Transport'!$D$7:$D$89,SBR!AA$4,'Jul17-Jun18 Transport'!$E$7:$E$89,SBR!$A$39)</f>
        <v>0</v>
      </c>
      <c r="AB39" s="121">
        <f>SUMIFS('Jul17-Jun18 Transport'!$K$7:$K$89,'Jul17-Jun18 Transport'!$D$7:$D$89,SBR!AB$4,'Jul17-Jun18 Transport'!$E$7:$E$89,SBR!$A$39)</f>
        <v>0</v>
      </c>
      <c r="AC39" s="121">
        <f>SUMIFS('Jul17-Jun18 Transport'!$K$7:$K$89,'Jul17-Jun18 Transport'!$D$7:$D$89,SBR!AC$4,'Jul17-Jun18 Transport'!$E$7:$E$89,SBR!$A$39)</f>
        <v>0</v>
      </c>
      <c r="AD39" s="121">
        <f>SUMIFS('Jul17-Jun18 Transport'!$K$7:$K$89,'Jul17-Jun18 Transport'!$D$7:$D$89,SBR!AD$4,'Jul17-Jun18 Transport'!$E$7:$E$89,SBR!$A$39)</f>
        <v>0</v>
      </c>
      <c r="AE39" s="121">
        <f>SUMIFS('Jul17-Jun18 Transport'!$K$7:$K$89,'Jul17-Jun18 Transport'!$D$7:$D$89,SBR!AE$4,'Jul17-Jun18 Transport'!$E$7:$E$89,SBR!$A$39)</f>
        <v>0</v>
      </c>
      <c r="AF39" s="121">
        <f>SUMIFS('Jul17-Jun18 Transport'!$K$7:$K$89,'Jul17-Jun18 Transport'!$D$7:$D$89,SBR!AF$4,'Jul17-Jun18 Transport'!$E$7:$E$89,SBR!$A$39)</f>
        <v>0</v>
      </c>
      <c r="AG39" s="121">
        <f>SUMIFS('Jul17-Jun18 Transport'!$K$7:$K$89,'Jul17-Jun18 Transport'!$D$7:$D$89,SBR!AG$4,'Jul17-Jun18 Transport'!$E$7:$E$89,SBR!$A$39)</f>
        <v>0</v>
      </c>
      <c r="AH39" s="121">
        <f>SUMIFS('Jul17-Jun18 Transport'!$K$7:$K$89,'Jul17-Jun18 Transport'!$D$7:$D$89,SBR!AH$4,'Jul17-Jun18 Transport'!$E$7:$E$89,SBR!$A$39)</f>
        <v>0</v>
      </c>
      <c r="AI39" s="121">
        <f>SUMIFS('Jul17-Jun18 Transport'!$K$7:$K$89,'Jul17-Jun18 Transport'!$D$7:$D$89,SBR!AI$4,'Jul17-Jun18 Transport'!$E$7:$E$89,SBR!$A$39)</f>
        <v>0</v>
      </c>
      <c r="AJ39" s="121">
        <f>SUMIFS('Jul17-Jun18 Transport'!$K$7:$K$89,'Jul17-Jun18 Transport'!$D$7:$D$89,SBR!AJ$4,'Jul17-Jun18 Transport'!$E$7:$E$89,SBR!$A$39)</f>
        <v>0</v>
      </c>
      <c r="AK39" s="121">
        <f>SUMIFS('Jul17-Jun18 Transport'!$K$7:$K$89,'Jul17-Jun18 Transport'!$D$7:$D$89,SBR!AK$4,'Jul17-Jun18 Transport'!$E$7:$E$89,SBR!$A$39)</f>
        <v>0</v>
      </c>
      <c r="AL39" s="121">
        <f>SUMIFS('Jul17-Jun18 Transport'!$K$7:$K$89,'Jul17-Jun18 Transport'!$D$7:$D$89,SBR!AL$4,'Jul17-Jun18 Transport'!$E$7:$E$89,SBR!$A$39)</f>
        <v>0</v>
      </c>
      <c r="AM39" s="158">
        <f>SUMIFS('Jul17-Jun18 Transport'!$BC$7:$BC$89,'Jul17-Jun18 Transport'!$D$7:$D$89,SBR!AM$4,'Jul17-Jun18 Transport'!$E$7:$E$89,SBR!$A$39)</f>
        <v>0</v>
      </c>
      <c r="AN39" s="158">
        <f>SUMIFS('Jul17-Jun18 Transport'!$BC$7:$BC$89,'Jul17-Jun18 Transport'!$D$7:$D$89,SBR!AN$4,'Jul17-Jun18 Transport'!$E$7:$E$89,SBR!$A$39)</f>
        <v>0</v>
      </c>
      <c r="AO39" s="158">
        <f>SUMIFS('Jul17-Jun18 Transport'!$BC$7:$BC$89,'Jul17-Jun18 Transport'!$D$7:$D$89,SBR!AO$4,'Jul17-Jun18 Transport'!$E$7:$E$89,SBR!$A$39)</f>
        <v>0</v>
      </c>
      <c r="AP39" s="158">
        <f>SUMIFS('Jul17-Jun18 Transport'!$BC$7:$BC$89,'Jul17-Jun18 Transport'!$D$7:$D$89,SBR!AP$4,'Jul17-Jun18 Transport'!$E$7:$E$89,SBR!$A$39)</f>
        <v>0</v>
      </c>
      <c r="AQ39" s="158">
        <f>SUMIFS('Jul17-Jun18 Transport'!$BC$7:$BC$89,'Jul17-Jun18 Transport'!$D$7:$D$89,SBR!AQ$4,'Jul17-Jun18 Transport'!$E$7:$E$89,SBR!$A$39)</f>
        <v>0</v>
      </c>
      <c r="AR39" s="158">
        <f>SUMIFS('Jul17-Jun18 Transport'!$BC$7:$BC$89,'Jul17-Jun18 Transport'!$D$7:$D$89,SBR!AR$4,'Jul17-Jun18 Transport'!$E$7:$E$89,SBR!$A$39)</f>
        <v>0</v>
      </c>
      <c r="AS39" s="158">
        <f>SUMIFS('Jul17-Jun18 Transport'!$BC$7:$BC$89,'Jul17-Jun18 Transport'!$D$7:$D$89,SBR!AS$4,'Jul17-Jun18 Transport'!$E$7:$E$89,SBR!$A$39)</f>
        <v>0</v>
      </c>
      <c r="AT39" s="158">
        <f>SUMIFS('Jul17-Jun18 Transport'!$BC$7:$BC$89,'Jul17-Jun18 Transport'!$D$7:$D$89,SBR!AT$4,'Jul17-Jun18 Transport'!$E$7:$E$89,SBR!$A$39)</f>
        <v>0</v>
      </c>
      <c r="AU39" s="158">
        <f>SUMIFS('Jul17-Jun18 Transport'!$BC$7:$BC$89,'Jul17-Jun18 Transport'!$D$7:$D$89,SBR!AU$4,'Jul17-Jun18 Transport'!$E$7:$E$89,SBR!$A$39)</f>
        <v>0</v>
      </c>
      <c r="AV39" s="158">
        <f>SUMIFS('Jul17-Jun18 Transport'!$BC$7:$BC$89,'Jul17-Jun18 Transport'!$D$7:$D$89,SBR!AV$4,'Jul17-Jun18 Transport'!$E$7:$E$89,SBR!$A$39)</f>
        <v>0</v>
      </c>
      <c r="AW39" s="158">
        <f>SUMIFS('Jul17-Jun18 Transport'!$BC$7:$BC$89,'Jul17-Jun18 Transport'!$D$7:$D$89,SBR!AW$4,'Jul17-Jun18 Transport'!$E$7:$E$89,SBR!$A$39)</f>
        <v>0</v>
      </c>
      <c r="AX39" s="158">
        <f>SUMIFS('Jul17-Jun18 Transport'!$BC$7:$BC$89,'Jul17-Jun18 Transport'!$D$7:$D$89,SBR!AX$4,'Jul17-Jun18 Transport'!$E$7:$E$89,SBR!$A$39)</f>
        <v>0</v>
      </c>
      <c r="AY39"/>
      <c r="AZ39" s="160"/>
    </row>
    <row r="40" spans="1:64" x14ac:dyDescent="0.25">
      <c r="A40" s="185" t="s">
        <v>87</v>
      </c>
      <c r="B40" s="150" t="s">
        <v>504</v>
      </c>
      <c r="C40" s="164">
        <f t="shared" si="57"/>
        <v>24</v>
      </c>
      <c r="D40" s="165">
        <f t="shared" si="37"/>
        <v>255682.92084060452</v>
      </c>
      <c r="E40" s="164">
        <f t="shared" ca="1" si="56"/>
        <v>258295.03</v>
      </c>
      <c r="F40" s="180"/>
      <c r="G40" s="123">
        <f t="shared" si="38"/>
        <v>10</v>
      </c>
      <c r="H40" s="124">
        <f t="shared" si="39"/>
        <v>62340.42419391172</v>
      </c>
      <c r="I40" s="123">
        <f t="shared" ca="1" si="40"/>
        <v>72532.049999999988</v>
      </c>
      <c r="J40" s="131"/>
      <c r="K40" s="123">
        <f t="shared" si="47"/>
        <v>14</v>
      </c>
      <c r="L40" s="124">
        <f t="shared" si="42"/>
        <v>193342.4966466928</v>
      </c>
      <c r="M40" s="123">
        <f t="shared" ca="1" si="43"/>
        <v>185762.98</v>
      </c>
      <c r="N40" s="42"/>
      <c r="O40" s="132">
        <f>SUMIFS('Jul17-Jun18 Transport'!$H$7:$H$89,'Jul17-Jun18 Transport'!$D$7:$D$89,SBR!O$4,'Jul17-Jun18 Transport'!$E$7:$E$89,SBR!$A$40)+SUMIFS('Jul17-Jun18 Transport'!$J$7:$J$89,'Jul17-Jun18 Transport'!$D$7:$D$89,SBR!O$4,'Jul17-Jun18 Transport'!$E$7:$E$89,SBR!$A$40)</f>
        <v>2</v>
      </c>
      <c r="P40" s="132">
        <f>SUMIFS('Jul17-Jun18 Transport'!$H$7:$H$89,'Jul17-Jun18 Transport'!$D$7:$D$89,SBR!P$4,'Jul17-Jun18 Transport'!$E$7:$E$89,SBR!$A$40)+SUMIFS('Jul17-Jun18 Transport'!$J$7:$J$89,'Jul17-Jun18 Transport'!$D$7:$D$89,SBR!P$4,'Jul17-Jun18 Transport'!$E$7:$E$89,SBR!$A$40)</f>
        <v>2</v>
      </c>
      <c r="Q40" s="132">
        <f>SUMIFS('Jul17-Jun18 Transport'!$H$7:$H$89,'Jul17-Jun18 Transport'!$D$7:$D$89,SBR!Q$4,'Jul17-Jun18 Transport'!$E$7:$E$89,SBR!$A$40)+SUMIFS('Jul17-Jun18 Transport'!$J$7:$J$89,'Jul17-Jun18 Transport'!$D$7:$D$89,SBR!Q$4,'Jul17-Jun18 Transport'!$E$7:$E$89,SBR!$A$40)</f>
        <v>2</v>
      </c>
      <c r="R40" s="132">
        <f>SUMIFS('Jul17-Jun18 Transport'!$H$7:$H$89,'Jul17-Jun18 Transport'!$D$7:$D$89,SBR!R$4,'Jul17-Jun18 Transport'!$E$7:$E$89,SBR!$A$40)+SUMIFS('Jul17-Jun18 Transport'!$J$7:$J$89,'Jul17-Jun18 Transport'!$D$7:$D$89,SBR!R$4,'Jul17-Jun18 Transport'!$E$7:$E$89,SBR!$A$40)</f>
        <v>2</v>
      </c>
      <c r="S40" s="132">
        <f>SUMIFS('Jul17-Jun18 Transport'!$H$7:$H$89,'Jul17-Jun18 Transport'!$D$7:$D$89,SBR!S$4,'Jul17-Jun18 Transport'!$E$7:$E$89,SBR!$A$40)+SUMIFS('Jul17-Jun18 Transport'!$J$7:$J$89,'Jul17-Jun18 Transport'!$D$7:$D$89,SBR!S$4,'Jul17-Jun18 Transport'!$E$7:$E$89,SBR!$A$40)</f>
        <v>2</v>
      </c>
      <c r="T40" s="132">
        <f>SUMIFS('Jul17-Jun18 Transport'!$H$7:$H$89,'Jul17-Jun18 Transport'!$D$7:$D$89,SBR!T$4,'Jul17-Jun18 Transport'!$E$7:$E$89,SBR!$A$40)+SUMIFS('Jul17-Jun18 Transport'!$J$7:$J$89,'Jul17-Jun18 Transport'!$D$7:$D$89,SBR!T$4,'Jul17-Jun18 Transport'!$E$7:$E$89,SBR!$A$40)</f>
        <v>2</v>
      </c>
      <c r="U40" s="132">
        <f>SUMIFS('Jul17-Jun18 Transport'!$H$7:$H$89,'Jul17-Jun18 Transport'!$D$7:$D$89,SBR!U$4,'Jul17-Jun18 Transport'!$E$7:$E$89,SBR!$A$40)+SUMIFS('Jul17-Jun18 Transport'!$J$7:$J$89,'Jul17-Jun18 Transport'!$D$7:$D$89,SBR!U$4,'Jul17-Jun18 Transport'!$E$7:$E$89,SBR!$A$40)</f>
        <v>2</v>
      </c>
      <c r="V40" s="132">
        <f>SUMIFS('Jul17-Jun18 Transport'!$H$7:$H$89,'Jul17-Jun18 Transport'!$D$7:$D$89,SBR!V$4,'Jul17-Jun18 Transport'!$E$7:$E$89,SBR!$A$40)+SUMIFS('Jul17-Jun18 Transport'!$J$7:$J$89,'Jul17-Jun18 Transport'!$D$7:$D$89,SBR!V$4,'Jul17-Jun18 Transport'!$E$7:$E$89,SBR!$A$40)</f>
        <v>2</v>
      </c>
      <c r="W40" s="132">
        <f>SUMIFS('Jul17-Jun18 Transport'!$H$7:$H$89,'Jul17-Jun18 Transport'!$D$7:$D$89,SBR!W$4,'Jul17-Jun18 Transport'!$E$7:$E$89,SBR!$A$40)+SUMIFS('Jul17-Jun18 Transport'!$J$7:$J$89,'Jul17-Jun18 Transport'!$D$7:$D$89,SBR!W$4,'Jul17-Jun18 Transport'!$E$7:$E$89,SBR!$A$40)</f>
        <v>2</v>
      </c>
      <c r="X40" s="132">
        <f>SUMIFS('Jul17-Jun18 Transport'!$H$7:$H$89,'Jul17-Jun18 Transport'!$D$7:$D$89,SBR!X$4,'Jul17-Jun18 Transport'!$E$7:$E$89,SBR!$A$40)+SUMIFS('Jul17-Jun18 Transport'!$J$7:$J$89,'Jul17-Jun18 Transport'!$D$7:$D$89,SBR!X$4,'Jul17-Jun18 Transport'!$E$7:$E$89,SBR!$A$40)</f>
        <v>2</v>
      </c>
      <c r="Y40" s="132">
        <f>SUMIFS('Jul17-Jun18 Transport'!$H$7:$H$89,'Jul17-Jun18 Transport'!$D$7:$D$89,SBR!Y$4,'Jul17-Jun18 Transport'!$E$7:$E$89,SBR!$A$40)+SUMIFS('Jul17-Jun18 Transport'!$J$7:$J$89,'Jul17-Jun18 Transport'!$D$7:$D$89,SBR!Y$4,'Jul17-Jun18 Transport'!$E$7:$E$89,SBR!$A$40)</f>
        <v>2</v>
      </c>
      <c r="Z40" s="132">
        <f>SUMIFS('Jul17-Jun18 Transport'!$H$7:$H$89,'Jul17-Jun18 Transport'!$D$7:$D$89,SBR!Z$4,'Jul17-Jun18 Transport'!$E$7:$E$89,SBR!$A$40)+SUMIFS('Jul17-Jun18 Transport'!$J$7:$J$89,'Jul17-Jun18 Transport'!$D$7:$D$89,SBR!Z$4,'Jul17-Jun18 Transport'!$E$7:$E$89,SBR!$A$40)</f>
        <v>2</v>
      </c>
      <c r="AA40" s="420">
        <f>SUMIFS('Jul17-Jun18 Transport'!$K$7:$K$89,'Jul17-Jun18 Transport'!$D$7:$D$89,SBR!AA$4,'Jul17-Jun18 Transport'!$E$7:$E$89,SBR!$A$40)*0.1</f>
        <v>13248.499890195446</v>
      </c>
      <c r="AB40" s="420">
        <f>SUMIFS('Jul17-Jun18 Transport'!$K$7:$K$89,'Jul17-Jun18 Transport'!$D$7:$D$89,SBR!AB$4,'Jul17-Jun18 Transport'!$E$7:$E$89,SBR!$A$40)*0.1</f>
        <v>3399.355208860236</v>
      </c>
      <c r="AC40" s="420">
        <f>SUMIFS('Jul17-Jun18 Transport'!$K$7:$K$89,'Jul17-Jun18 Transport'!$D$7:$D$89,SBR!AC$4,'Jul17-Jun18 Transport'!$E$7:$E$89,SBR!$A$40)*0.1</f>
        <v>24293.027842465301</v>
      </c>
      <c r="AD40" s="420">
        <f>SUMIFS('Jul17-Jun18 Transport'!$K$7:$K$89,'Jul17-Jun18 Transport'!$D$7:$D$89,SBR!AD$4,'Jul17-Jun18 Transport'!$E$7:$E$89,SBR!$A$40)*0.1</f>
        <v>43936.846015835763</v>
      </c>
      <c r="AE40" s="420">
        <f>SUMIFS('Jul17-Jun18 Transport'!$K$7:$K$89,'Jul17-Jun18 Transport'!$D$7:$D$89,SBR!AE$4,'Jul17-Jun18 Transport'!$E$7:$E$89,SBR!$A$40)*0.1</f>
        <v>50393.077664057062</v>
      </c>
      <c r="AF40" s="420">
        <f>SUMIFS('Jul17-Jun18 Transport'!$K$7:$K$89,'Jul17-Jun18 Transport'!$D$7:$D$89,SBR!AF$4,'Jul17-Jun18 Transport'!$E$7:$E$89,SBR!$A$40)*0.1</f>
        <v>36536.384880028832</v>
      </c>
      <c r="AG40" s="420">
        <f>SUMIFS('Jul17-Jun18 Transport'!$K$7:$K$89,'Jul17-Jun18 Transport'!$D$7:$D$89,SBR!AG$4,'Jul17-Jun18 Transport'!$E$7:$E$89,SBR!$A$40)*0.1</f>
        <v>21910.005295801791</v>
      </c>
      <c r="AH40" s="420">
        <f>SUMIFS('Jul17-Jun18 Transport'!$K$7:$K$89,'Jul17-Jun18 Transport'!$D$7:$D$89,SBR!AH$4,'Jul17-Jun18 Transport'!$E$7:$E$89,SBR!$A$40)*0.1</f>
        <v>12873.799739643804</v>
      </c>
      <c r="AI40" s="420">
        <f>SUMIFS('Jul17-Jun18 Transport'!$K$7:$K$89,'Jul17-Jun18 Transport'!$D$7:$D$89,SBR!AI$4,'Jul17-Jun18 Transport'!$E$7:$E$89,SBR!$A$40)*0.1</f>
        <v>15918.464883627566</v>
      </c>
      <c r="AJ40" s="420">
        <f>SUMIFS('Jul17-Jun18 Transport'!$K$7:$K$89,'Jul17-Jun18 Transport'!$D$7:$D$89,SBR!AJ$4,'Jul17-Jun18 Transport'!$E$7:$E$89,SBR!$A$40)*0.1</f>
        <v>15386.666585888479</v>
      </c>
      <c r="AK40" s="420">
        <f>SUMIFS('Jul17-Jun18 Transport'!$K$7:$K$89,'Jul17-Jun18 Transport'!$D$7:$D$89,SBR!AK$4,'Jul17-Jun18 Transport'!$E$7:$E$89,SBR!$A$40)*0.1</f>
        <v>8164.4209796613668</v>
      </c>
      <c r="AL40" s="420">
        <f>SUMIFS('Jul17-Jun18 Transport'!$K$7:$K$89,'Jul17-Jun18 Transport'!$D$7:$D$89,SBR!AL$4,'Jul17-Jun18 Transport'!$E$7:$E$89,SBR!$A$40)*0.1</f>
        <v>9622.3718545388583</v>
      </c>
      <c r="AM40" s="170">
        <f ca="1">SUMIFS('Jul17-Jun18 Transport'!$BC$7:$BC$89,'Jul17-Jun18 Transport'!$D$7:$D$89,SBR!AM$4,'Jul17-Jun18 Transport'!$E$7:$E$89,SBR!$A$40)-'Jul17-Jun18 Transport'!AV10</f>
        <v>14641.08</v>
      </c>
      <c r="AN40" s="170">
        <f ca="1">SUMIFS('Jul17-Jun18 Transport'!$BC$7:$BC$89,'Jul17-Jun18 Transport'!$D$7:$D$89,SBR!AN$4,'Jul17-Jun18 Transport'!$E$7:$E$89,SBR!$A$40)</f>
        <v>5962.83</v>
      </c>
      <c r="AO40" s="170">
        <f ca="1">SUMIFS('Jul17-Jun18 Transport'!$BC$7:$BC$89,'Jul17-Jun18 Transport'!$D$7:$D$89,SBR!AO$4,'Jul17-Jun18 Transport'!$E$7:$E$89,SBR!$A$40)</f>
        <v>24367.73</v>
      </c>
      <c r="AP40" s="170">
        <f ca="1">SUMIFS('Jul17-Jun18 Transport'!$BC$7:$BC$89,'Jul17-Jun18 Transport'!$D$7:$D$89,SBR!AP$4,'Jul17-Jun18 Transport'!$E$7:$E$89,SBR!$A$40)</f>
        <v>39559.660000000003</v>
      </c>
      <c r="AQ40" s="170">
        <f ca="1">SUMIFS('Jul17-Jun18 Transport'!$BC$7:$BC$89,'Jul17-Jun18 Transport'!$D$7:$D$89,SBR!AQ$4,'Jul17-Jun18 Transport'!$E$7:$E$89,SBR!$A$40)</f>
        <v>44795.76</v>
      </c>
      <c r="AR40" s="170">
        <f ca="1">SUMIFS('Jul17-Jun18 Transport'!$BC$7:$BC$89,'Jul17-Jun18 Transport'!$D$7:$D$89,SBR!AR$4,'Jul17-Jun18 Transport'!$E$7:$E$89,SBR!$A$40)</f>
        <v>33984.6</v>
      </c>
      <c r="AS40" s="170">
        <f ca="1">SUMIFS('Jul17-Jun18 Transport'!$BC$7:$BC$89,'Jul17-Jun18 Transport'!$D$7:$D$89,SBR!AS$4,'Jul17-Jun18 Transport'!$E$7:$E$89,SBR!$A$40)</f>
        <v>22385.59</v>
      </c>
      <c r="AT40" s="170">
        <f ca="1">SUMIFS('Jul17-Jun18 Transport'!$BC$7:$BC$89,'Jul17-Jun18 Transport'!$D$7:$D$89,SBR!AT$4,'Jul17-Jun18 Transport'!$E$7:$E$89,SBR!$A$40)</f>
        <v>14706.81</v>
      </c>
      <c r="AU40" s="170">
        <f ca="1">SUMIFS('Jul17-Jun18 Transport'!$BC$7:$BC$89,'Jul17-Jun18 Transport'!$D$7:$D$89,SBR!AU$4,'Jul17-Jun18 Transport'!$E$7:$E$89,SBR!$A$40)</f>
        <v>18059.96</v>
      </c>
      <c r="AV40" s="170">
        <f ca="1">SUMIFS('Jul17-Jun18 Transport'!$BC$7:$BC$89,'Jul17-Jun18 Transport'!$D$7:$D$89,SBR!AV$4,'Jul17-Jun18 Transport'!$E$7:$E$89,SBR!$A$40)</f>
        <v>17178.78</v>
      </c>
      <c r="AW40" s="170">
        <f ca="1">SUMIFS('Jul17-Jun18 Transport'!$BC$7:$BC$89,'Jul17-Jun18 Transport'!$D$7:$D$89,SBR!AW$4,'Jul17-Jun18 Transport'!$E$7:$E$89,SBR!$A$40)</f>
        <v>10570.16</v>
      </c>
      <c r="AX40" s="170">
        <f ca="1">SUMIFS('Jul17-Jun18 Transport'!$BC$7:$BC$89,'Jul17-Jun18 Transport'!$D$7:$D$89,SBR!AX$4,'Jul17-Jun18 Transport'!$E$7:$E$89,SBR!$A$40)</f>
        <v>12082.07</v>
      </c>
      <c r="AY40"/>
      <c r="AZ40" s="160"/>
    </row>
    <row r="41" spans="1:64" x14ac:dyDescent="0.25">
      <c r="A41" s="185"/>
      <c r="B41" s="150" t="s">
        <v>505</v>
      </c>
      <c r="C41" s="151">
        <f t="shared" si="57"/>
        <v>84</v>
      </c>
      <c r="D41" s="162">
        <f t="shared" si="37"/>
        <v>715610.22460855986</v>
      </c>
      <c r="E41" s="151">
        <f t="shared" ca="1" si="56"/>
        <v>1303628.2500000002</v>
      </c>
      <c r="F41" s="151"/>
      <c r="G41" s="123">
        <f t="shared" si="38"/>
        <v>35</v>
      </c>
      <c r="H41" s="124">
        <f t="shared" si="39"/>
        <v>223485.95370829641</v>
      </c>
      <c r="I41" s="123">
        <f t="shared" ca="1" si="40"/>
        <v>426485.76999999996</v>
      </c>
      <c r="J41" s="123"/>
      <c r="K41" s="123">
        <f t="shared" si="47"/>
        <v>49</v>
      </c>
      <c r="L41" s="124">
        <f t="shared" si="42"/>
        <v>492124.27090026351</v>
      </c>
      <c r="M41" s="123">
        <f t="shared" ca="1" si="43"/>
        <v>877142.48</v>
      </c>
      <c r="O41" s="173">
        <f t="shared" ref="O41:AX41" si="58">SUM(O37:O40)</f>
        <v>7</v>
      </c>
      <c r="P41" s="173">
        <f t="shared" si="58"/>
        <v>7</v>
      </c>
      <c r="Q41" s="173">
        <f t="shared" si="58"/>
        <v>7</v>
      </c>
      <c r="R41" s="173">
        <f t="shared" si="58"/>
        <v>7</v>
      </c>
      <c r="S41" s="173">
        <f t="shared" si="58"/>
        <v>7</v>
      </c>
      <c r="T41" s="173">
        <f t="shared" si="58"/>
        <v>7</v>
      </c>
      <c r="U41" s="173">
        <f t="shared" si="58"/>
        <v>7</v>
      </c>
      <c r="V41" s="173">
        <f t="shared" si="58"/>
        <v>7</v>
      </c>
      <c r="W41" s="173">
        <f t="shared" si="58"/>
        <v>7</v>
      </c>
      <c r="X41" s="173">
        <f t="shared" si="58"/>
        <v>7</v>
      </c>
      <c r="Y41" s="173">
        <f t="shared" si="58"/>
        <v>7</v>
      </c>
      <c r="Z41" s="173">
        <f t="shared" si="58"/>
        <v>7</v>
      </c>
      <c r="AA41" s="177">
        <f t="shared" si="58"/>
        <v>56310.629199146715</v>
      </c>
      <c r="AB41" s="177">
        <f t="shared" si="58"/>
        <v>37214.999367645767</v>
      </c>
      <c r="AC41" s="177">
        <f t="shared" si="58"/>
        <v>66933.87922787256</v>
      </c>
      <c r="AD41" s="177">
        <f t="shared" si="58"/>
        <v>111577.4308631155</v>
      </c>
      <c r="AE41" s="177">
        <f t="shared" si="58"/>
        <v>122976.30788240422</v>
      </c>
      <c r="AF41" s="177">
        <f t="shared" si="58"/>
        <v>88929.278026070155</v>
      </c>
      <c r="AG41" s="177">
        <f t="shared" si="58"/>
        <v>40030.132585957821</v>
      </c>
      <c r="AH41" s="177">
        <f t="shared" si="58"/>
        <v>24462.242947197436</v>
      </c>
      <c r="AI41" s="177">
        <f t="shared" si="58"/>
        <v>34420.715852982335</v>
      </c>
      <c r="AJ41" s="177">
        <f t="shared" si="58"/>
        <v>47984.329965912351</v>
      </c>
      <c r="AK41" s="177">
        <f t="shared" si="58"/>
        <v>40771.13835002674</v>
      </c>
      <c r="AL41" s="177">
        <f t="shared" si="58"/>
        <v>43999.140340228274</v>
      </c>
      <c r="AM41" s="158">
        <f t="shared" ca="1" si="58"/>
        <v>105955.62</v>
      </c>
      <c r="AN41" s="158">
        <f t="shared" ca="1" si="58"/>
        <v>79014.8</v>
      </c>
      <c r="AO41" s="158">
        <f t="shared" ca="1" si="58"/>
        <v>114499.83</v>
      </c>
      <c r="AP41" s="158">
        <f t="shared" ca="1" si="58"/>
        <v>176126.03</v>
      </c>
      <c r="AQ41" s="158">
        <f t="shared" ca="1" si="58"/>
        <v>225879.52000000002</v>
      </c>
      <c r="AR41" s="158">
        <f t="shared" ca="1" si="58"/>
        <v>164488.81</v>
      </c>
      <c r="AS41" s="158">
        <f t="shared" ca="1" si="58"/>
        <v>70330.12</v>
      </c>
      <c r="AT41" s="158">
        <f t="shared" ca="1" si="58"/>
        <v>46803.37</v>
      </c>
      <c r="AU41" s="158">
        <f t="shared" ca="1" si="58"/>
        <v>67697.78</v>
      </c>
      <c r="AV41" s="158">
        <f t="shared" ca="1" si="58"/>
        <v>85652.56</v>
      </c>
      <c r="AW41" s="158">
        <f t="shared" ca="1" si="58"/>
        <v>80348</v>
      </c>
      <c r="AX41" s="158">
        <f t="shared" ca="1" si="58"/>
        <v>86831.81</v>
      </c>
      <c r="AY41"/>
      <c r="AZ41" s="160"/>
    </row>
    <row r="42" spans="1:64" x14ac:dyDescent="0.25">
      <c r="A42" s="185"/>
      <c r="B42" s="150"/>
      <c r="C42" s="151"/>
      <c r="D42" s="162"/>
      <c r="E42" s="151"/>
      <c r="F42" s="151"/>
      <c r="G42" s="151"/>
      <c r="H42" s="162"/>
      <c r="I42" s="151"/>
      <c r="J42" s="151"/>
      <c r="K42" s="151"/>
      <c r="L42" s="162"/>
      <c r="M42" s="151"/>
      <c r="O42" s="173"/>
      <c r="P42" s="173"/>
      <c r="Q42" s="173"/>
      <c r="R42" s="173"/>
      <c r="S42" s="173"/>
      <c r="T42" s="173"/>
      <c r="U42" s="151"/>
      <c r="V42" s="151"/>
      <c r="W42" s="151"/>
      <c r="X42" s="151"/>
      <c r="Y42" s="151"/>
      <c r="Z42" s="151"/>
      <c r="AA42" s="174"/>
      <c r="AB42" s="174"/>
      <c r="AC42" s="174"/>
      <c r="AD42" s="174"/>
      <c r="AE42" s="174"/>
      <c r="AF42" s="174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4"/>
      <c r="AT42" s="174"/>
      <c r="AU42" s="174"/>
      <c r="AV42" s="174"/>
      <c r="AW42" s="174"/>
      <c r="AX42" s="174"/>
      <c r="AY42"/>
      <c r="AZ42" s="160"/>
    </row>
    <row r="43" spans="1:64" x14ac:dyDescent="0.25">
      <c r="A43" s="88" t="s">
        <v>41</v>
      </c>
      <c r="B43" s="150" t="s">
        <v>300</v>
      </c>
      <c r="C43" s="151">
        <f>SUM(O43:Z43)</f>
        <v>876</v>
      </c>
      <c r="D43" s="162">
        <f t="shared" si="37"/>
        <v>12313888.497179303</v>
      </c>
      <c r="E43" s="151">
        <f t="shared" ca="1" si="56"/>
        <v>7709355.0799999991</v>
      </c>
      <c r="F43" s="151"/>
      <c r="G43" s="123">
        <f t="shared" si="38"/>
        <v>365</v>
      </c>
      <c r="H43" s="124">
        <f t="shared" si="39"/>
        <v>3915489.7727768617</v>
      </c>
      <c r="I43" s="123">
        <f t="shared" ca="1" si="40"/>
        <v>2748786.63</v>
      </c>
      <c r="J43" s="123"/>
      <c r="K43" s="123">
        <f t="shared" si="47"/>
        <v>511</v>
      </c>
      <c r="L43" s="124">
        <f t="shared" si="42"/>
        <v>8398398.7244024426</v>
      </c>
      <c r="M43" s="123">
        <f t="shared" ca="1" si="43"/>
        <v>4960568.45</v>
      </c>
      <c r="O43" s="173">
        <f>SUMIFS('Jul17-Jun18 Transport'!$H$7:$H$89,'Jul17-Jun18 Transport'!$D$7:$D$89,SBR!O$4,'Jul17-Jun18 Transport'!$E$7:$E$89,SBR!$A$43)</f>
        <v>73</v>
      </c>
      <c r="P43" s="173">
        <f>SUMIFS('Jul17-Jun18 Transport'!$H$7:$H$89,'Jul17-Jun18 Transport'!$D$7:$D$89,SBR!P$4,'Jul17-Jun18 Transport'!$E$7:$E$89,SBR!$A$43)</f>
        <v>73</v>
      </c>
      <c r="Q43" s="173">
        <f>SUMIFS('Jul17-Jun18 Transport'!$H$7:$H$89,'Jul17-Jun18 Transport'!$D$7:$D$89,SBR!Q$4,'Jul17-Jun18 Transport'!$E$7:$E$89,SBR!$A$43)</f>
        <v>73</v>
      </c>
      <c r="R43" s="173">
        <f>SUMIFS('Jul17-Jun18 Transport'!$H$7:$H$89,'Jul17-Jun18 Transport'!$D$7:$D$89,SBR!R$4,'Jul17-Jun18 Transport'!$E$7:$E$89,SBR!$A$43)</f>
        <v>73</v>
      </c>
      <c r="S43" s="173">
        <f>SUMIFS('Jul17-Jun18 Transport'!$H$7:$H$89,'Jul17-Jun18 Transport'!$D$7:$D$89,SBR!S$4,'Jul17-Jun18 Transport'!$E$7:$E$89,SBR!$A$43)</f>
        <v>73</v>
      </c>
      <c r="T43" s="173">
        <f>SUMIFS('Jul17-Jun18 Transport'!$H$7:$H$89,'Jul17-Jun18 Transport'!$D$7:$D$89,SBR!T$4,'Jul17-Jun18 Transport'!$E$7:$E$89,SBR!$A$43)</f>
        <v>73</v>
      </c>
      <c r="U43" s="173">
        <f>SUMIFS('Jul17-Jun18 Transport'!$H$7:$H$89,'Jul17-Jun18 Transport'!$D$7:$D$89,SBR!U$4,'Jul17-Jun18 Transport'!$E$7:$E$89,SBR!$A$43)</f>
        <v>73</v>
      </c>
      <c r="V43" s="173">
        <f>SUMIFS('Jul17-Jun18 Transport'!$H$7:$H$89,'Jul17-Jun18 Transport'!$D$7:$D$89,SBR!V$4,'Jul17-Jun18 Transport'!$E$7:$E$89,SBR!$A$43)</f>
        <v>73</v>
      </c>
      <c r="W43" s="173">
        <f>SUMIFS('Jul17-Jun18 Transport'!$H$7:$H$89,'Jul17-Jun18 Transport'!$D$7:$D$89,SBR!W$4,'Jul17-Jun18 Transport'!$E$7:$E$89,SBR!$A$43)</f>
        <v>73</v>
      </c>
      <c r="X43" s="173">
        <f>SUMIFS('Jul17-Jun18 Transport'!$H$7:$H$89,'Jul17-Jun18 Transport'!$D$7:$D$89,SBR!X$4,'Jul17-Jun18 Transport'!$E$7:$E$89,SBR!$A$43)</f>
        <v>73</v>
      </c>
      <c r="Y43" s="173">
        <f>SUMIFS('Jul17-Jun18 Transport'!$H$7:$H$89,'Jul17-Jun18 Transport'!$D$7:$D$89,SBR!Y$4,'Jul17-Jun18 Transport'!$E$7:$E$89,SBR!$A$43)</f>
        <v>73</v>
      </c>
      <c r="Z43" s="173">
        <f>SUMIFS('Jul17-Jun18 Transport'!$H$7:$H$89,'Jul17-Jun18 Transport'!$D$7:$D$89,SBR!Z$4,'Jul17-Jun18 Transport'!$E$7:$E$89,SBR!$A$43)</f>
        <v>73</v>
      </c>
      <c r="AA43" s="121">
        <f>SUMIFS('Jul17-Jun18 Transport'!$K$7:$K$89,'Jul17-Jun18 Transport'!$D$7:$D$89,SBR!AA$4,'Jul17-Jun18 Transport'!$E$7:$E$89,SBR!$A$43)*0.1</f>
        <v>693929.80831465789</v>
      </c>
      <c r="AB43" s="121">
        <f>SUMIFS('Jul17-Jun18 Transport'!$K$7:$K$89,'Jul17-Jun18 Transport'!$D$7:$D$89,SBR!AB$4,'Jul17-Jun18 Transport'!$E$7:$E$89,SBR!$A$43)*0.1</f>
        <v>754985.40375137143</v>
      </c>
      <c r="AC43" s="121">
        <f>SUMIFS('Jul17-Jun18 Transport'!$K$7:$K$89,'Jul17-Jun18 Transport'!$D$7:$D$89,SBR!AC$4,'Jul17-Jun18 Transport'!$E$7:$E$89,SBR!$A$43)*0.1</f>
        <v>766088.61745606514</v>
      </c>
      <c r="AD43" s="121">
        <f>SUMIFS('Jul17-Jun18 Transport'!$K$7:$K$89,'Jul17-Jun18 Transport'!$D$7:$D$89,SBR!AD$4,'Jul17-Jun18 Transport'!$E$7:$E$89,SBR!$A$43)*0.1</f>
        <v>1131979.0608328255</v>
      </c>
      <c r="AE43" s="121">
        <f>SUMIFS('Jul17-Jun18 Transport'!$K$7:$K$89,'Jul17-Jun18 Transport'!$D$7:$D$89,SBR!AE$4,'Jul17-Jun18 Transport'!$E$7:$E$89,SBR!$A$43)*0.1</f>
        <v>1406728.2446911135</v>
      </c>
      <c r="AF43" s="121">
        <f>SUMIFS('Jul17-Jun18 Transport'!$K$7:$K$89,'Jul17-Jun18 Transport'!$D$7:$D$89,SBR!AF$4,'Jul17-Jun18 Transport'!$E$7:$E$89,SBR!$A$43)*0.1</f>
        <v>1479497.5100335963</v>
      </c>
      <c r="AG43" s="121">
        <f>SUMIFS('Jul17-Jun18 Transport'!$K$7:$K$89,'Jul17-Jun18 Transport'!$D$7:$D$89,SBR!AG$4,'Jul17-Jun18 Transport'!$E$7:$E$89,SBR!$A$43)*0.1</f>
        <v>1529525.7739041899</v>
      </c>
      <c r="AH43" s="121">
        <f>SUMIFS('Jul17-Jun18 Transport'!$K$7:$K$89,'Jul17-Jun18 Transport'!$D$7:$D$89,SBR!AH$4,'Jul17-Jun18 Transport'!$E$7:$E$89,SBR!$A$43)*0.1</f>
        <v>1329594.1137332805</v>
      </c>
      <c r="AI43" s="121">
        <f>SUMIFS('Jul17-Jun18 Transport'!$K$7:$K$89,'Jul17-Jun18 Transport'!$D$7:$D$89,SBR!AI$4,'Jul17-Jun18 Transport'!$E$7:$E$89,SBR!$A$43)*0.1</f>
        <v>1054879.0468900374</v>
      </c>
      <c r="AJ43" s="121">
        <f>SUMIFS('Jul17-Jun18 Transport'!$K$7:$K$89,'Jul17-Jun18 Transport'!$D$7:$D$89,SBR!AJ$4,'Jul17-Jun18 Transport'!$E$7:$E$89,SBR!$A$43)*0.1</f>
        <v>774703.90350928297</v>
      </c>
      <c r="AK43" s="121">
        <f>SUMIFS('Jul17-Jun18 Transport'!$K$7:$K$89,'Jul17-Jun18 Transport'!$D$7:$D$89,SBR!AK$4,'Jul17-Jun18 Transport'!$E$7:$E$89,SBR!$A$43)*0.1</f>
        <v>709778.56689239247</v>
      </c>
      <c r="AL43" s="121">
        <f>SUMIFS('Jul17-Jun18 Transport'!$K$7:$K$89,'Jul17-Jun18 Transport'!$D$7:$D$89,SBR!AL$4,'Jul17-Jun18 Transport'!$E$7:$E$89,SBR!$A$43)*0.1</f>
        <v>682198.44717049098</v>
      </c>
      <c r="AM43" s="158">
        <f ca="1">SUMIFS('Jul17-Jun18 Transport'!$BC$7:$BC$89,'Jul17-Jun18 Transport'!$D$7:$D$89,SBR!AM$4,'Jul17-Jun18 Transport'!$E$7:$E$89,SBR!$A$43)-AM48</f>
        <v>510013.43</v>
      </c>
      <c r="AN43" s="158">
        <f ca="1">SUMIFS('Jul17-Jun18 Transport'!$BC$7:$BC$89,'Jul17-Jun18 Transport'!$D$7:$D$89,SBR!AN$4,'Jul17-Jun18 Transport'!$E$7:$E$89,SBR!$A$43)-AN48</f>
        <v>581478.96</v>
      </c>
      <c r="AO43" s="158">
        <f ca="1">SUMIFS('Jul17-Jun18 Transport'!$BC$7:$BC$89,'Jul17-Jun18 Transport'!$D$7:$D$89,SBR!AO$4,'Jul17-Jun18 Transport'!$E$7:$E$89,SBR!$A$43)-AO48</f>
        <v>577695.63</v>
      </c>
      <c r="AP43" s="158">
        <f ca="1">SUMIFS('Jul17-Jun18 Transport'!$BC$7:$BC$89,'Jul17-Jun18 Transport'!$D$7:$D$89,SBR!AP$4,'Jul17-Jun18 Transport'!$E$7:$E$89,SBR!$A$43)-AP48</f>
        <v>798548.98</v>
      </c>
      <c r="AQ43" s="158">
        <f ca="1">SUMIFS('Jul17-Jun18 Transport'!$BC$7:$BC$89,'Jul17-Jun18 Transport'!$D$7:$D$89,SBR!AQ$4,'Jul17-Jun18 Transport'!$E$7:$E$89,SBR!$A$43)-AQ48</f>
        <v>804037.17</v>
      </c>
      <c r="AR43" s="158">
        <f ca="1">SUMIFS('Jul17-Jun18 Transport'!$BC$7:$BC$89,'Jul17-Jun18 Transport'!$D$7:$D$89,SBR!AR$4,'Jul17-Jun18 Transport'!$E$7:$E$89,SBR!$A$43)-AR48</f>
        <v>723494.87</v>
      </c>
      <c r="AS43" s="158">
        <f ca="1">SUMIFS('Jul17-Jun18 Transport'!$BC$7:$BC$89,'Jul17-Jun18 Transport'!$D$7:$D$89,SBR!AS$4,'Jul17-Jun18 Transport'!$E$7:$E$89,SBR!$A$43)-AS48</f>
        <v>777331.76</v>
      </c>
      <c r="AT43" s="158">
        <f ca="1">SUMIFS('Jul17-Jun18 Transport'!$BC$7:$BC$89,'Jul17-Jun18 Transport'!$D$7:$D$89,SBR!AT$4,'Jul17-Jun18 Transport'!$E$7:$E$89,SBR!$A$43)-AT48</f>
        <v>697981.08</v>
      </c>
      <c r="AU43" s="158">
        <f ca="1">SUMIFS('Jul17-Jun18 Transport'!$BC$7:$BC$89,'Jul17-Jun18 Transport'!$D$7:$D$89,SBR!AU$4,'Jul17-Jun18 Transport'!$E$7:$E$89,SBR!$A$43)-AU48</f>
        <v>609896.01</v>
      </c>
      <c r="AV43" s="158">
        <f ca="1">SUMIFS('Jul17-Jun18 Transport'!$BC$7:$BC$89,'Jul17-Jun18 Transport'!$D$7:$D$89,SBR!AV$4,'Jul17-Jun18 Transport'!$E$7:$E$89,SBR!$A$43)-AV48</f>
        <v>517814.23</v>
      </c>
      <c r="AW43" s="158">
        <f ca="1">SUMIFS('Jul17-Jun18 Transport'!$BC$7:$BC$89,'Jul17-Jun18 Transport'!$D$7:$D$89,SBR!AW$4,'Jul17-Jun18 Transport'!$E$7:$E$89,SBR!$A$43)-AW48</f>
        <v>550345.61</v>
      </c>
      <c r="AX43" s="158">
        <f ca="1">SUMIFS('Jul17-Jun18 Transport'!$BC$7:$BC$89,'Jul17-Jun18 Transport'!$D$7:$D$89,SBR!AX$4,'Jul17-Jun18 Transport'!$E$7:$E$89,SBR!$A$43)-AX48</f>
        <v>560717.35</v>
      </c>
      <c r="AY43"/>
      <c r="AZ43" s="160"/>
    </row>
    <row r="44" spans="1:64" x14ac:dyDescent="0.25">
      <c r="A44" s="88" t="s">
        <v>43</v>
      </c>
      <c r="B44" s="150" t="s">
        <v>301</v>
      </c>
      <c r="C44" s="164">
        <f t="shared" ref="C44:C45" si="59">SUM(O44:Z44)</f>
        <v>0</v>
      </c>
      <c r="D44" s="165">
        <f t="shared" si="37"/>
        <v>0</v>
      </c>
      <c r="E44" s="164">
        <f t="shared" ca="1" si="56"/>
        <v>0</v>
      </c>
      <c r="F44" s="151"/>
      <c r="G44" s="123">
        <f t="shared" si="38"/>
        <v>0</v>
      </c>
      <c r="H44" s="124">
        <f t="shared" si="39"/>
        <v>0</v>
      </c>
      <c r="I44" s="123">
        <f t="shared" ca="1" si="40"/>
        <v>0</v>
      </c>
      <c r="J44" s="123"/>
      <c r="K44" s="123">
        <f t="shared" si="47"/>
        <v>0</v>
      </c>
      <c r="L44" s="124">
        <f t="shared" si="42"/>
        <v>0</v>
      </c>
      <c r="M44" s="123">
        <f t="shared" ca="1" si="43"/>
        <v>0</v>
      </c>
      <c r="O44" s="178">
        <f>SUMIFS('Jul17-Jun18 Transport'!$H$7:$H$89,'Jul17-Jun18 Transport'!$D$7:$D$89,SBR!O$4,'Jul17-Jun18 Transport'!$E$7:$E$89,SBR!$A$44)</f>
        <v>0</v>
      </c>
      <c r="P44" s="178">
        <f>SUMIFS('Jul17-Jun18 Transport'!$H$7:$H$89,'Jul17-Jun18 Transport'!$D$7:$D$89,SBR!P$4,'Jul17-Jun18 Transport'!$E$7:$E$89,SBR!$A$44)</f>
        <v>0</v>
      </c>
      <c r="Q44" s="178">
        <f>SUMIFS('Jul17-Jun18 Transport'!$H$7:$H$89,'Jul17-Jun18 Transport'!$D$7:$D$89,SBR!Q$4,'Jul17-Jun18 Transport'!$E$7:$E$89,SBR!$A$44)</f>
        <v>0</v>
      </c>
      <c r="R44" s="178">
        <f>SUMIFS('Jul17-Jun18 Transport'!$H$7:$H$89,'Jul17-Jun18 Transport'!$D$7:$D$89,SBR!R$4,'Jul17-Jun18 Transport'!$E$7:$E$89,SBR!$A$44)</f>
        <v>0</v>
      </c>
      <c r="S44" s="178">
        <f>SUMIFS('Jul17-Jun18 Transport'!$H$7:$H$89,'Jul17-Jun18 Transport'!$D$7:$D$89,SBR!S$4,'Jul17-Jun18 Transport'!$E$7:$E$89,SBR!$A$44)</f>
        <v>0</v>
      </c>
      <c r="T44" s="178">
        <f>SUMIFS('Jul17-Jun18 Transport'!$H$7:$H$89,'Jul17-Jun18 Transport'!$D$7:$D$89,SBR!T$4,'Jul17-Jun18 Transport'!$E$7:$E$89,SBR!$A$44)</f>
        <v>0</v>
      </c>
      <c r="U44" s="178">
        <f>SUMIFS('Jul17-Jun18 Transport'!$H$7:$H$89,'Jul17-Jun18 Transport'!$D$7:$D$89,SBR!U$4,'Jul17-Jun18 Transport'!$E$7:$E$89,SBR!$A$44)</f>
        <v>0</v>
      </c>
      <c r="V44" s="178">
        <f>SUMIFS('Jul17-Jun18 Transport'!$H$7:$H$89,'Jul17-Jun18 Transport'!$D$7:$D$89,SBR!V$4,'Jul17-Jun18 Transport'!$E$7:$E$89,SBR!$A$44)</f>
        <v>0</v>
      </c>
      <c r="W44" s="178">
        <f>SUMIFS('Jul17-Jun18 Transport'!$H$7:$H$89,'Jul17-Jun18 Transport'!$D$7:$D$89,SBR!W$4,'Jul17-Jun18 Transport'!$E$7:$E$89,SBR!$A$44)</f>
        <v>0</v>
      </c>
      <c r="X44" s="178">
        <f>SUMIFS('Jul17-Jun18 Transport'!$H$7:$H$89,'Jul17-Jun18 Transport'!$D$7:$D$89,SBR!X$4,'Jul17-Jun18 Transport'!$E$7:$E$89,SBR!$A$44)</f>
        <v>0</v>
      </c>
      <c r="Y44" s="178">
        <f>SUMIFS('Jul17-Jun18 Transport'!$H$7:$H$89,'Jul17-Jun18 Transport'!$D$7:$D$89,SBR!Y$4,'Jul17-Jun18 Transport'!$E$7:$E$89,SBR!$A$44)</f>
        <v>0</v>
      </c>
      <c r="Z44" s="178">
        <f>SUMIFS('Jul17-Jun18 Transport'!$H$7:$H$89,'Jul17-Jun18 Transport'!$D$7:$D$89,SBR!Z$4,'Jul17-Jun18 Transport'!$E$7:$E$89,SBR!$A$44)</f>
        <v>0</v>
      </c>
      <c r="AA44" s="420">
        <f>SUMIFS('Jul17-Jun18 Transport'!$K$7:$K$89,'Jul17-Jun18 Transport'!$D$7:$D$89,SBR!AA$4,'Jul17-Jun18 Transport'!$E$7:$E$89,SBR!$A$44)*0.1</f>
        <v>0</v>
      </c>
      <c r="AB44" s="420">
        <f>SUMIFS('Jul17-Jun18 Transport'!$K$7:$K$89,'Jul17-Jun18 Transport'!$D$7:$D$89,SBR!AB$4,'Jul17-Jun18 Transport'!$E$7:$E$89,SBR!$A$44)*0.1</f>
        <v>0</v>
      </c>
      <c r="AC44" s="420">
        <f>SUMIFS('Jul17-Jun18 Transport'!$K$7:$K$89,'Jul17-Jun18 Transport'!$D$7:$D$89,SBR!AC$4,'Jul17-Jun18 Transport'!$E$7:$E$89,SBR!$A$44)*0.1</f>
        <v>0</v>
      </c>
      <c r="AD44" s="420">
        <f>SUMIFS('Jul17-Jun18 Transport'!$K$7:$K$89,'Jul17-Jun18 Transport'!$D$7:$D$89,SBR!AD$4,'Jul17-Jun18 Transport'!$E$7:$E$89,SBR!$A$44)*0.1</f>
        <v>0</v>
      </c>
      <c r="AE44" s="420">
        <f>SUMIFS('Jul17-Jun18 Transport'!$K$7:$K$89,'Jul17-Jun18 Transport'!$D$7:$D$89,SBR!AE$4,'Jul17-Jun18 Transport'!$E$7:$E$89,SBR!$A$44)*0.1</f>
        <v>0</v>
      </c>
      <c r="AF44" s="420">
        <f>SUMIFS('Jul17-Jun18 Transport'!$K$7:$K$89,'Jul17-Jun18 Transport'!$D$7:$D$89,SBR!AF$4,'Jul17-Jun18 Transport'!$E$7:$E$89,SBR!$A$44)*0.1</f>
        <v>0</v>
      </c>
      <c r="AG44" s="420">
        <f>SUMIFS('Jul17-Jun18 Transport'!$K$7:$K$89,'Jul17-Jun18 Transport'!$D$7:$D$89,SBR!AG$4,'Jul17-Jun18 Transport'!$E$7:$E$89,SBR!$A$44)*0.1</f>
        <v>0</v>
      </c>
      <c r="AH44" s="420">
        <f>SUMIFS('Jul17-Jun18 Transport'!$K$7:$K$89,'Jul17-Jun18 Transport'!$D$7:$D$89,SBR!AH$4,'Jul17-Jun18 Transport'!$E$7:$E$89,SBR!$A$44)*0.1</f>
        <v>0</v>
      </c>
      <c r="AI44" s="420">
        <f>SUMIFS('Jul17-Jun18 Transport'!$K$7:$K$89,'Jul17-Jun18 Transport'!$D$7:$D$89,SBR!AI$4,'Jul17-Jun18 Transport'!$E$7:$E$89,SBR!$A$44)*0.1</f>
        <v>0</v>
      </c>
      <c r="AJ44" s="420">
        <f>SUMIFS('Jul17-Jun18 Transport'!$K$7:$K$89,'Jul17-Jun18 Transport'!$D$7:$D$89,SBR!AJ$4,'Jul17-Jun18 Transport'!$E$7:$E$89,SBR!$A$44)*0.1</f>
        <v>0</v>
      </c>
      <c r="AK44" s="420">
        <f>SUMIFS('Jul17-Jun18 Transport'!$K$7:$K$89,'Jul17-Jun18 Transport'!$D$7:$D$89,SBR!AK$4,'Jul17-Jun18 Transport'!$E$7:$E$89,SBR!$A$44)*0.1</f>
        <v>0</v>
      </c>
      <c r="AL44" s="420">
        <f>SUMIFS('Jul17-Jun18 Transport'!$K$7:$K$89,'Jul17-Jun18 Transport'!$D$7:$D$89,SBR!AL$4,'Jul17-Jun18 Transport'!$E$7:$E$89,SBR!$A$44)*0.1</f>
        <v>0</v>
      </c>
      <c r="AM44" s="170">
        <f ca="1">SUMIFS('Jul17-Jun18 Transport'!$BC$7:$BC$89,'Jul17-Jun18 Transport'!$D$7:$D$89,SBR!AM$4,'Jul17-Jun18 Transport'!$E$7:$E$89,SBR!$A$44)</f>
        <v>0</v>
      </c>
      <c r="AN44" s="170">
        <f ca="1">SUMIFS('Jul17-Jun18 Transport'!$BC$7:$BC$89,'Jul17-Jun18 Transport'!$D$7:$D$89,SBR!AN$4,'Jul17-Jun18 Transport'!$E$7:$E$89,SBR!$A$44)</f>
        <v>0</v>
      </c>
      <c r="AO44" s="170">
        <f ca="1">SUMIFS('Jul17-Jun18 Transport'!$BC$7:$BC$89,'Jul17-Jun18 Transport'!$D$7:$D$89,SBR!AO$4,'Jul17-Jun18 Transport'!$E$7:$E$89,SBR!$A$44)</f>
        <v>0</v>
      </c>
      <c r="AP44" s="170">
        <f ca="1">SUMIFS('Jul17-Jun18 Transport'!$BC$7:$BC$89,'Jul17-Jun18 Transport'!$D$7:$D$89,SBR!AP$4,'Jul17-Jun18 Transport'!$E$7:$E$89,SBR!$A$44)</f>
        <v>0</v>
      </c>
      <c r="AQ44" s="170">
        <f ca="1">SUMIFS('Jul17-Jun18 Transport'!$BC$7:$BC$89,'Jul17-Jun18 Transport'!$D$7:$D$89,SBR!AQ$4,'Jul17-Jun18 Transport'!$E$7:$E$89,SBR!$A$44)</f>
        <v>0</v>
      </c>
      <c r="AR44" s="170">
        <f ca="1">SUMIFS('Jul17-Jun18 Transport'!$BC$7:$BC$89,'Jul17-Jun18 Transport'!$D$7:$D$89,SBR!AR$4,'Jul17-Jun18 Transport'!$E$7:$E$89,SBR!$A$44)</f>
        <v>0</v>
      </c>
      <c r="AS44" s="170">
        <f ca="1">SUMIFS('Jul17-Jun18 Transport'!$BC$7:$BC$89,'Jul17-Jun18 Transport'!$D$7:$D$89,SBR!AS$4,'Jul17-Jun18 Transport'!$E$7:$E$89,SBR!$A$44)</f>
        <v>0</v>
      </c>
      <c r="AT44" s="170">
        <f ca="1">SUMIFS('Jul17-Jun18 Transport'!$BC$7:$BC$89,'Jul17-Jun18 Transport'!$D$7:$D$89,SBR!AT$4,'Jul17-Jun18 Transport'!$E$7:$E$89,SBR!$A$44)</f>
        <v>0</v>
      </c>
      <c r="AU44" s="170">
        <f ca="1">SUMIFS('Jul17-Jun18 Transport'!$BC$7:$BC$89,'Jul17-Jun18 Transport'!$D$7:$D$89,SBR!AU$4,'Jul17-Jun18 Transport'!$E$7:$E$89,SBR!$A$44)</f>
        <v>0</v>
      </c>
      <c r="AV44" s="170">
        <f ca="1">SUMIFS('Jul17-Jun18 Transport'!$BC$7:$BC$89,'Jul17-Jun18 Transport'!$D$7:$D$89,SBR!AV$4,'Jul17-Jun18 Transport'!$E$7:$E$89,SBR!$A$44)</f>
        <v>0</v>
      </c>
      <c r="AW44" s="170">
        <f ca="1">SUMIFS('Jul17-Jun18 Transport'!$BC$7:$BC$89,'Jul17-Jun18 Transport'!$D$7:$D$89,SBR!AW$4,'Jul17-Jun18 Transport'!$E$7:$E$89,SBR!$A$44)</f>
        <v>0</v>
      </c>
      <c r="AX44" s="170">
        <f ca="1">SUMIFS('Jul17-Jun18 Transport'!$BC$7:$BC$89,'Jul17-Jun18 Transport'!$D$7:$D$89,SBR!AX$4,'Jul17-Jun18 Transport'!$E$7:$E$89,SBR!$A$44)</f>
        <v>0</v>
      </c>
      <c r="AY44"/>
      <c r="AZ44" s="160"/>
    </row>
    <row r="45" spans="1:64" x14ac:dyDescent="0.25">
      <c r="B45" s="150" t="s">
        <v>302</v>
      </c>
      <c r="C45" s="151">
        <f t="shared" si="59"/>
        <v>876</v>
      </c>
      <c r="D45" s="162">
        <f t="shared" si="37"/>
        <v>12313888.497179303</v>
      </c>
      <c r="E45" s="151">
        <f t="shared" ca="1" si="56"/>
        <v>7709355.0799999991</v>
      </c>
      <c r="F45" s="151"/>
      <c r="G45" s="123">
        <f t="shared" si="38"/>
        <v>365</v>
      </c>
      <c r="H45" s="124">
        <f t="shared" si="39"/>
        <v>3915489.7727768617</v>
      </c>
      <c r="I45" s="123">
        <f t="shared" ca="1" si="40"/>
        <v>2748786.63</v>
      </c>
      <c r="J45" s="123"/>
      <c r="K45" s="123">
        <f t="shared" si="47"/>
        <v>511</v>
      </c>
      <c r="L45" s="124">
        <f t="shared" si="42"/>
        <v>8398398.7244024426</v>
      </c>
      <c r="M45" s="123">
        <f t="shared" ca="1" si="43"/>
        <v>4960568.45</v>
      </c>
      <c r="O45" s="173">
        <f t="shared" ref="O45:AX45" si="60">SUM(O43:O44)</f>
        <v>73</v>
      </c>
      <c r="P45" s="173">
        <f t="shared" si="60"/>
        <v>73</v>
      </c>
      <c r="Q45" s="173">
        <f t="shared" si="60"/>
        <v>73</v>
      </c>
      <c r="R45" s="173">
        <f t="shared" si="60"/>
        <v>73</v>
      </c>
      <c r="S45" s="173">
        <f t="shared" si="60"/>
        <v>73</v>
      </c>
      <c r="T45" s="173">
        <f t="shared" si="60"/>
        <v>73</v>
      </c>
      <c r="U45" s="173">
        <f t="shared" si="60"/>
        <v>73</v>
      </c>
      <c r="V45" s="173">
        <f t="shared" si="60"/>
        <v>73</v>
      </c>
      <c r="W45" s="173">
        <f t="shared" si="60"/>
        <v>73</v>
      </c>
      <c r="X45" s="173">
        <f t="shared" si="60"/>
        <v>73</v>
      </c>
      <c r="Y45" s="173">
        <f t="shared" si="60"/>
        <v>73</v>
      </c>
      <c r="Z45" s="173">
        <f t="shared" si="60"/>
        <v>73</v>
      </c>
      <c r="AA45" s="174">
        <f t="shared" si="60"/>
        <v>693929.80831465789</v>
      </c>
      <c r="AB45" s="174">
        <f t="shared" si="60"/>
        <v>754985.40375137143</v>
      </c>
      <c r="AC45" s="174">
        <f t="shared" si="60"/>
        <v>766088.61745606514</v>
      </c>
      <c r="AD45" s="174">
        <f t="shared" si="60"/>
        <v>1131979.0608328255</v>
      </c>
      <c r="AE45" s="174">
        <f t="shared" si="60"/>
        <v>1406728.2446911135</v>
      </c>
      <c r="AF45" s="174">
        <f t="shared" si="60"/>
        <v>1479497.5100335963</v>
      </c>
      <c r="AG45" s="174">
        <f t="shared" si="60"/>
        <v>1529525.7739041899</v>
      </c>
      <c r="AH45" s="174">
        <f t="shared" si="60"/>
        <v>1329594.1137332805</v>
      </c>
      <c r="AI45" s="174">
        <f t="shared" si="60"/>
        <v>1054879.0468900374</v>
      </c>
      <c r="AJ45" s="174">
        <f t="shared" si="60"/>
        <v>774703.90350928297</v>
      </c>
      <c r="AK45" s="174">
        <f t="shared" si="60"/>
        <v>709778.56689239247</v>
      </c>
      <c r="AL45" s="174">
        <f t="shared" si="60"/>
        <v>682198.44717049098</v>
      </c>
      <c r="AM45" s="158">
        <f t="shared" ca="1" si="60"/>
        <v>510013.43</v>
      </c>
      <c r="AN45" s="158">
        <f t="shared" ca="1" si="60"/>
        <v>581478.96</v>
      </c>
      <c r="AO45" s="158">
        <f t="shared" ca="1" si="60"/>
        <v>577695.63</v>
      </c>
      <c r="AP45" s="158">
        <f t="shared" ca="1" si="60"/>
        <v>798548.98</v>
      </c>
      <c r="AQ45" s="158">
        <f t="shared" ca="1" si="60"/>
        <v>804037.17</v>
      </c>
      <c r="AR45" s="158">
        <f t="shared" ca="1" si="60"/>
        <v>723494.87</v>
      </c>
      <c r="AS45" s="158">
        <f t="shared" ca="1" si="60"/>
        <v>777331.76</v>
      </c>
      <c r="AT45" s="158">
        <f t="shared" ca="1" si="60"/>
        <v>697981.08</v>
      </c>
      <c r="AU45" s="158">
        <f t="shared" ca="1" si="60"/>
        <v>609896.01</v>
      </c>
      <c r="AV45" s="158">
        <f t="shared" ca="1" si="60"/>
        <v>517814.23</v>
      </c>
      <c r="AW45" s="158">
        <f t="shared" ca="1" si="60"/>
        <v>550345.61</v>
      </c>
      <c r="AX45" s="158">
        <f t="shared" ca="1" si="60"/>
        <v>560717.35</v>
      </c>
      <c r="AY45"/>
      <c r="AZ45" s="179"/>
    </row>
    <row r="46" spans="1:64" x14ac:dyDescent="0.25">
      <c r="B46" s="150"/>
      <c r="C46" s="151"/>
      <c r="D46" s="162"/>
      <c r="E46" s="151"/>
      <c r="F46" s="151"/>
      <c r="G46" s="123"/>
      <c r="H46" s="124"/>
      <c r="I46" s="123"/>
      <c r="J46" s="123"/>
      <c r="K46" s="123"/>
      <c r="L46" s="124"/>
      <c r="M46" s="123"/>
      <c r="O46" s="173"/>
      <c r="P46" s="173"/>
      <c r="Q46" s="173"/>
      <c r="R46" s="173"/>
      <c r="S46" s="173"/>
      <c r="T46" s="173"/>
      <c r="U46" s="123"/>
      <c r="V46" s="123"/>
      <c r="W46" s="123"/>
      <c r="X46" s="123"/>
      <c r="Y46" s="123"/>
      <c r="Z46" s="123"/>
      <c r="AA46" s="176"/>
      <c r="AB46" s="176"/>
      <c r="AC46" s="176"/>
      <c r="AD46" s="176"/>
      <c r="AE46" s="176"/>
      <c r="AF46" s="176"/>
      <c r="AG46" s="173"/>
      <c r="AH46" s="173"/>
      <c r="AI46" s="173"/>
      <c r="AJ46" s="173"/>
      <c r="AK46" s="173"/>
      <c r="AL46" s="173"/>
      <c r="AM46" s="432"/>
      <c r="AN46" s="432"/>
      <c r="AO46" s="432"/>
      <c r="AP46" s="432"/>
      <c r="AQ46" s="432"/>
      <c r="AR46" s="432"/>
      <c r="AS46" s="174"/>
      <c r="AT46" s="174"/>
      <c r="AU46" s="174"/>
      <c r="AV46" s="174"/>
      <c r="AW46" s="174"/>
      <c r="AX46" s="174"/>
      <c r="AY46"/>
      <c r="AZ46" s="179"/>
    </row>
    <row r="47" spans="1:64" x14ac:dyDescent="0.25">
      <c r="B47" s="150"/>
      <c r="C47" s="57"/>
      <c r="D47" s="57"/>
      <c r="E47" s="57"/>
      <c r="F47"/>
      <c r="G47"/>
      <c r="H47"/>
      <c r="I47"/>
      <c r="J47"/>
      <c r="K47"/>
      <c r="L47"/>
      <c r="M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383"/>
      <c r="AN47" s="383"/>
      <c r="AO47" s="383"/>
      <c r="AP47" s="383"/>
      <c r="AQ47" s="383"/>
      <c r="AR47" s="383"/>
      <c r="AS47" s="383"/>
      <c r="AT47" s="383"/>
      <c r="AU47" s="383"/>
      <c r="AV47" s="383"/>
      <c r="AW47" s="383"/>
      <c r="AX47" s="383"/>
      <c r="AY47"/>
      <c r="AZ47"/>
      <c r="BI47"/>
      <c r="BJ47"/>
      <c r="BK47"/>
      <c r="BL47"/>
    </row>
    <row r="48" spans="1:64" x14ac:dyDescent="0.25">
      <c r="A48" s="88" t="s">
        <v>41</v>
      </c>
      <c r="B48" s="150" t="s">
        <v>438</v>
      </c>
      <c r="C48" s="151">
        <f>SUM(O48:Z48)</f>
        <v>828</v>
      </c>
      <c r="D48" s="162">
        <f t="shared" ref="D48:D51" si="61">SUM(AA48:AL48)</f>
        <v>0</v>
      </c>
      <c r="E48" s="151">
        <f t="shared" ref="E48:E51" si="62">SUM(AM48:AX48)</f>
        <v>62100</v>
      </c>
      <c r="F48" s="151"/>
      <c r="G48" s="123">
        <f t="shared" ref="G48:G59" si="63">O48+W48+X48+Y48+Z48</f>
        <v>345</v>
      </c>
      <c r="H48" s="124">
        <f t="shared" ref="H48:H53" si="64">AA48+AI48+AJ48+AK48+AL48</f>
        <v>0</v>
      </c>
      <c r="I48" s="123">
        <f t="shared" ref="I48:I59" si="65">AM48+AU48+AV48+AW48+AX48</f>
        <v>25875</v>
      </c>
      <c r="J48" s="123"/>
      <c r="K48" s="123">
        <f t="shared" ref="K48:K59" si="66">SUM(P48:V48)</f>
        <v>483</v>
      </c>
      <c r="L48" s="124">
        <f t="shared" ref="L48:L59" si="67">SUM(AB48:AH48)</f>
        <v>0</v>
      </c>
      <c r="M48" s="123">
        <f t="shared" ref="M48:M59" si="68">SUM(AN48:AT48)</f>
        <v>36225</v>
      </c>
      <c r="O48" s="255">
        <f>SUMIFS('Jul17-Jun18 Transport'!M7:M89,'Jul17-Jun18 Transport'!D7:D89,SBR!O4,'Jul17-Jun18 Transport'!E7:E89,SBR!A48)</f>
        <v>69</v>
      </c>
      <c r="P48" s="255">
        <f>SUMIFS('Jul17-Jun18 Transport'!$M$7:$M$89,'Jul17-Jun18 Transport'!$D$7:$D$89,SBR!P$4,'Jul17-Jun18 Transport'!$E$7:$E$89,SBR!$A$48)</f>
        <v>69</v>
      </c>
      <c r="Q48" s="255">
        <f>SUMIFS('Jul17-Jun18 Transport'!$M$7:$M$89,'Jul17-Jun18 Transport'!$D$7:$D$89,SBR!Q$4,'Jul17-Jun18 Transport'!$E$7:$E$89,SBR!$A$48)</f>
        <v>69</v>
      </c>
      <c r="R48" s="255">
        <f>SUMIFS('Jul17-Jun18 Transport'!$M$7:$M$89,'Jul17-Jun18 Transport'!$D$7:$D$89,SBR!R$4,'Jul17-Jun18 Transport'!$E$7:$E$89,SBR!$A$48)</f>
        <v>69</v>
      </c>
      <c r="S48" s="255">
        <f>SUMIFS('Jul17-Jun18 Transport'!$M$7:$M$89,'Jul17-Jun18 Transport'!$D$7:$D$89,SBR!S$4,'Jul17-Jun18 Transport'!$E$7:$E$89,SBR!$A$48)</f>
        <v>69</v>
      </c>
      <c r="T48" s="255">
        <f>SUMIFS('Jul17-Jun18 Transport'!$M$7:$M$89,'Jul17-Jun18 Transport'!$D$7:$D$89,SBR!T$4,'Jul17-Jun18 Transport'!$E$7:$E$89,SBR!$A$48)</f>
        <v>69</v>
      </c>
      <c r="U48" s="255">
        <f>SUMIFS('Jul17-Jun18 Transport'!$M$7:$M$89,'Jul17-Jun18 Transport'!$D$7:$D$89,SBR!U$4,'Jul17-Jun18 Transport'!$E$7:$E$89,SBR!$A$48)</f>
        <v>69</v>
      </c>
      <c r="V48" s="255">
        <f>SUMIFS('Jul17-Jun18 Transport'!$M$7:$M$89,'Jul17-Jun18 Transport'!$D$7:$D$89,SBR!V$4,'Jul17-Jun18 Transport'!$E$7:$E$89,SBR!$A$48)</f>
        <v>69</v>
      </c>
      <c r="W48" s="255">
        <f>SUMIFS('Jul17-Jun18 Transport'!$M$7:$M$89,'Jul17-Jun18 Transport'!$D$7:$D$89,SBR!W$4,'Jul17-Jun18 Transport'!$E$7:$E$89,SBR!$A$48)</f>
        <v>69</v>
      </c>
      <c r="X48" s="255">
        <f>SUMIFS('Jul17-Jun18 Transport'!$M$7:$M$89,'Jul17-Jun18 Transport'!$D$7:$D$89,SBR!X$4,'Jul17-Jun18 Transport'!$E$7:$E$89,SBR!$A$48)</f>
        <v>69</v>
      </c>
      <c r="Y48" s="255">
        <f>SUMIFS('Jul17-Jun18 Transport'!$M$7:$M$89,'Jul17-Jun18 Transport'!$D$7:$D$89,SBR!Y$4,'Jul17-Jun18 Transport'!$E$7:$E$89,SBR!$A$48)</f>
        <v>69</v>
      </c>
      <c r="Z48" s="255">
        <f>SUMIFS('Jul17-Jun18 Transport'!$M$7:$M$89,'Jul17-Jun18 Transport'!$D$7:$D$89,SBR!Z$4,'Jul17-Jun18 Transport'!$E$7:$E$89,SBR!$A$48)</f>
        <v>69</v>
      </c>
      <c r="AA48" s="174"/>
      <c r="AB48" s="174"/>
      <c r="AC48" s="174"/>
      <c r="AD48" s="174"/>
      <c r="AE48" s="174"/>
      <c r="AF48" s="174"/>
      <c r="AG48" s="176"/>
      <c r="AH48" s="176"/>
      <c r="AI48" s="176"/>
      <c r="AJ48" s="176"/>
      <c r="AK48" s="176"/>
      <c r="AL48" s="176"/>
      <c r="AM48" s="158">
        <f>SUMIFS('Jul17-Jun18 Transport'!$AV$7:$AV$89,'Jul17-Jun18 Transport'!$D$7:$D$89,SBR!AM$4,'Jul17-Jun18 Transport'!$E$7:$E$89,SBR!$A$48)</f>
        <v>5175</v>
      </c>
      <c r="AN48" s="158">
        <f>SUMIFS('Jul17-Jun18 Transport'!$AV$7:$AV$89,'Jul17-Jun18 Transport'!$D$7:$D$89,SBR!AN$4,'Jul17-Jun18 Transport'!$E$7:$E$89,SBR!$A$48)</f>
        <v>5175</v>
      </c>
      <c r="AO48" s="158">
        <f>SUMIFS('Jul17-Jun18 Transport'!$AV$7:$AV$89,'Jul17-Jun18 Transport'!$D$7:$D$89,SBR!AO$4,'Jul17-Jun18 Transport'!$E$7:$E$89,SBR!$A$48)</f>
        <v>5175</v>
      </c>
      <c r="AP48" s="158">
        <f>SUMIFS('Jul17-Jun18 Transport'!$AV$7:$AV$89,'Jul17-Jun18 Transport'!$D$7:$D$89,SBR!AP$4,'Jul17-Jun18 Transport'!$E$7:$E$89,SBR!$A$48)</f>
        <v>5175</v>
      </c>
      <c r="AQ48" s="158">
        <f>SUMIFS('Jul17-Jun18 Transport'!$AV$7:$AV$89,'Jul17-Jun18 Transport'!$D$7:$D$89,SBR!AQ$4,'Jul17-Jun18 Transport'!$E$7:$E$89,SBR!$A$48)</f>
        <v>5175</v>
      </c>
      <c r="AR48" s="158">
        <f>SUMIFS('Jul17-Jun18 Transport'!$AV$7:$AV$89,'Jul17-Jun18 Transport'!$D$7:$D$89,SBR!AR$4,'Jul17-Jun18 Transport'!$E$7:$E$89,SBR!$A$48)</f>
        <v>5175</v>
      </c>
      <c r="AS48" s="158">
        <f>SUMIFS('Jul17-Jun18 Transport'!$AV$7:$AV$89,'Jul17-Jun18 Transport'!$D$7:$D$89,SBR!AS$4,'Jul17-Jun18 Transport'!$E$7:$E$89,SBR!$A$48)</f>
        <v>5175</v>
      </c>
      <c r="AT48" s="158">
        <f>SUMIFS('Jul17-Jun18 Transport'!$AV$7:$AV$89,'Jul17-Jun18 Transport'!$D$7:$D$89,SBR!AT$4,'Jul17-Jun18 Transport'!$E$7:$E$89,SBR!$A$48)</f>
        <v>5175</v>
      </c>
      <c r="AU48" s="158">
        <f>SUMIFS('Jul17-Jun18 Transport'!$AV$7:$AV$89,'Jul17-Jun18 Transport'!$D$7:$D$89,SBR!AU$4,'Jul17-Jun18 Transport'!$E$7:$E$89,SBR!$A$48)</f>
        <v>5175</v>
      </c>
      <c r="AV48" s="158">
        <f>SUMIFS('Jul17-Jun18 Transport'!$AV$7:$AV$89,'Jul17-Jun18 Transport'!$D$7:$D$89,SBR!AV$4,'Jul17-Jun18 Transport'!$E$7:$E$89,SBR!$A$48)</f>
        <v>5175</v>
      </c>
      <c r="AW48" s="158">
        <f>SUMIFS('Jul17-Jun18 Transport'!$AV$7:$AV$89,'Jul17-Jun18 Transport'!$D$7:$D$89,SBR!AW$4,'Jul17-Jun18 Transport'!$E$7:$E$89,SBR!$A$48)</f>
        <v>5175</v>
      </c>
      <c r="AX48" s="158">
        <f>SUMIFS('Jul17-Jun18 Transport'!$AV$7:$AV$89,'Jul17-Jun18 Transport'!$D$7:$D$89,SBR!AX$4,'Jul17-Jun18 Transport'!$E$7:$E$89,SBR!$A$48)</f>
        <v>5175</v>
      </c>
      <c r="AY48"/>
      <c r="AZ48" s="179"/>
    </row>
    <row r="49" spans="1:52" x14ac:dyDescent="0.25">
      <c r="A49" s="88" t="s">
        <v>31</v>
      </c>
      <c r="B49" s="150" t="s">
        <v>507</v>
      </c>
      <c r="C49" s="151">
        <f t="shared" ref="C49:C51" si="69">SUM(O49:Z49)</f>
        <v>24</v>
      </c>
      <c r="D49" s="162">
        <f t="shared" si="61"/>
        <v>0</v>
      </c>
      <c r="E49" s="151">
        <f t="shared" si="62"/>
        <v>1800</v>
      </c>
      <c r="F49" s="180"/>
      <c r="G49" s="123">
        <f t="shared" si="63"/>
        <v>10</v>
      </c>
      <c r="H49" s="124">
        <f t="shared" si="64"/>
        <v>0</v>
      </c>
      <c r="I49" s="123">
        <f t="shared" si="65"/>
        <v>750</v>
      </c>
      <c r="J49" s="131"/>
      <c r="K49" s="123">
        <f t="shared" si="66"/>
        <v>14</v>
      </c>
      <c r="L49" s="124">
        <f t="shared" si="67"/>
        <v>0</v>
      </c>
      <c r="M49" s="123">
        <f t="shared" si="68"/>
        <v>1050</v>
      </c>
      <c r="N49" s="42"/>
      <c r="O49" s="255">
        <f>SUMIFS('Jul17-Jun18 Transport'!$M$7:$M$89,'Jul17-Jun18 Transport'!$D$7:$D$89,SBR!O$4,'Jul17-Jun18 Transport'!$E$7:$E$89,SBR!$A$49)</f>
        <v>2</v>
      </c>
      <c r="P49" s="255">
        <f>SUMIFS('Jul17-Jun18 Transport'!$M$7:$M$89,'Jul17-Jun18 Transport'!$D$7:$D$89,SBR!P$4,'Jul17-Jun18 Transport'!$E$7:$E$89,SBR!$A$49)</f>
        <v>2</v>
      </c>
      <c r="Q49" s="255">
        <f>SUMIFS('Jul17-Jun18 Transport'!$M$7:$M$89,'Jul17-Jun18 Transport'!$D$7:$D$89,SBR!Q$4,'Jul17-Jun18 Transport'!$E$7:$E$89,SBR!$A$49)</f>
        <v>2</v>
      </c>
      <c r="R49" s="255">
        <f>SUMIFS('Jul17-Jun18 Transport'!$M$7:$M$89,'Jul17-Jun18 Transport'!$D$7:$D$89,SBR!R$4,'Jul17-Jun18 Transport'!$E$7:$E$89,SBR!$A$49)</f>
        <v>2</v>
      </c>
      <c r="S49" s="255">
        <f>SUMIFS('Jul17-Jun18 Transport'!$M$7:$M$89,'Jul17-Jun18 Transport'!$D$7:$D$89,SBR!S$4,'Jul17-Jun18 Transport'!$E$7:$E$89,SBR!$A$49)</f>
        <v>2</v>
      </c>
      <c r="T49" s="255">
        <f>SUMIFS('Jul17-Jun18 Transport'!$M$7:$M$89,'Jul17-Jun18 Transport'!$D$7:$D$89,SBR!T$4,'Jul17-Jun18 Transport'!$E$7:$E$89,SBR!$A$49)</f>
        <v>2</v>
      </c>
      <c r="U49" s="255">
        <f>SUMIFS('Jul17-Jun18 Transport'!$M$7:$M$89,'Jul17-Jun18 Transport'!$D$7:$D$89,SBR!U$4,'Jul17-Jun18 Transport'!$E$7:$E$89,SBR!$A$49)</f>
        <v>2</v>
      </c>
      <c r="V49" s="255">
        <f>SUMIFS('Jul17-Jun18 Transport'!$M$7:$M$89,'Jul17-Jun18 Transport'!$D$7:$D$89,SBR!V$4,'Jul17-Jun18 Transport'!$E$7:$E$89,SBR!$A$49)</f>
        <v>2</v>
      </c>
      <c r="W49" s="255">
        <f>SUMIFS('Jul17-Jun18 Transport'!$M$7:$M$89,'Jul17-Jun18 Transport'!$D$7:$D$89,SBR!W$4,'Jul17-Jun18 Transport'!$E$7:$E$89,SBR!$A$49)</f>
        <v>2</v>
      </c>
      <c r="X49" s="255">
        <f>SUMIFS('Jul17-Jun18 Transport'!$M$7:$M$89,'Jul17-Jun18 Transport'!$D$7:$D$89,SBR!X$4,'Jul17-Jun18 Transport'!$E$7:$E$89,SBR!$A$49)</f>
        <v>2</v>
      </c>
      <c r="Y49" s="255">
        <f>SUMIFS('Jul17-Jun18 Transport'!$M$7:$M$89,'Jul17-Jun18 Transport'!$D$7:$D$89,SBR!Y$4,'Jul17-Jun18 Transport'!$E$7:$E$89,SBR!$A$49)</f>
        <v>2</v>
      </c>
      <c r="Z49" s="255">
        <f>SUMIFS('Jul17-Jun18 Transport'!$M$7:$M$89,'Jul17-Jun18 Transport'!$D$7:$D$89,SBR!Z$4,'Jul17-Jun18 Transport'!$E$7:$E$89,SBR!$A$49)</f>
        <v>2</v>
      </c>
      <c r="AA49" s="392"/>
      <c r="AB49" s="392"/>
      <c r="AC49" s="392"/>
      <c r="AD49" s="392"/>
      <c r="AE49" s="392"/>
      <c r="AF49" s="392"/>
      <c r="AG49" s="393"/>
      <c r="AH49" s="393"/>
      <c r="AI49" s="393"/>
      <c r="AJ49" s="393"/>
      <c r="AK49" s="393"/>
      <c r="AL49" s="393"/>
      <c r="AM49" s="158">
        <f>SUMIFS('Jul17-Jun18 Transport'!$AV$7:$AV$89,'Jul17-Jun18 Transport'!$D$7:$D$89,SBR!AM$4,'Jul17-Jun18 Transport'!$E$7:$E$89,SBR!$A$49)</f>
        <v>150</v>
      </c>
      <c r="AN49" s="158">
        <f>SUMIFS('Jul17-Jun18 Transport'!$AV$7:$AV$89,'Jul17-Jun18 Transport'!$D$7:$D$89,SBR!AN$4,'Jul17-Jun18 Transport'!$E$7:$E$89,SBR!$A$49)</f>
        <v>150</v>
      </c>
      <c r="AO49" s="158">
        <f>SUMIFS('Jul17-Jun18 Transport'!$AV$7:$AV$89,'Jul17-Jun18 Transport'!$D$7:$D$89,SBR!AO$4,'Jul17-Jun18 Transport'!$E$7:$E$89,SBR!$A$49)</f>
        <v>150</v>
      </c>
      <c r="AP49" s="158">
        <f>SUMIFS('Jul17-Jun18 Transport'!$AV$7:$AV$89,'Jul17-Jun18 Transport'!$D$7:$D$89,SBR!AP$4,'Jul17-Jun18 Transport'!$E$7:$E$89,SBR!$A$49)</f>
        <v>150</v>
      </c>
      <c r="AQ49" s="158">
        <f>SUMIFS('Jul17-Jun18 Transport'!$AV$7:$AV$89,'Jul17-Jun18 Transport'!$D$7:$D$89,SBR!AQ$4,'Jul17-Jun18 Transport'!$E$7:$E$89,SBR!$A$49)</f>
        <v>150</v>
      </c>
      <c r="AR49" s="158">
        <f>SUMIFS('Jul17-Jun18 Transport'!$AV$7:$AV$89,'Jul17-Jun18 Transport'!$D$7:$D$89,SBR!AR$4,'Jul17-Jun18 Transport'!$E$7:$E$89,SBR!$A$49)</f>
        <v>150</v>
      </c>
      <c r="AS49" s="158">
        <f>SUMIFS('Jul17-Jun18 Transport'!$AV$7:$AV$89,'Jul17-Jun18 Transport'!$D$7:$D$89,SBR!AS$4,'Jul17-Jun18 Transport'!$E$7:$E$89,SBR!$A$49)</f>
        <v>150</v>
      </c>
      <c r="AT49" s="158">
        <f>SUMIFS('Jul17-Jun18 Transport'!$AV$7:$AV$89,'Jul17-Jun18 Transport'!$D$7:$D$89,SBR!AT$4,'Jul17-Jun18 Transport'!$E$7:$E$89,SBR!$A$49)</f>
        <v>150</v>
      </c>
      <c r="AU49" s="158">
        <f>SUMIFS('Jul17-Jun18 Transport'!$AV$7:$AV$89,'Jul17-Jun18 Transport'!$D$7:$D$89,SBR!AU$4,'Jul17-Jun18 Transport'!$E$7:$E$89,SBR!$A$49)</f>
        <v>150</v>
      </c>
      <c r="AV49" s="158">
        <f>SUMIFS('Jul17-Jun18 Transport'!$AV$7:$AV$89,'Jul17-Jun18 Transport'!$D$7:$D$89,SBR!AV$4,'Jul17-Jun18 Transport'!$E$7:$E$89,SBR!$A$49)</f>
        <v>150</v>
      </c>
      <c r="AW49" s="158">
        <f>SUMIFS('Jul17-Jun18 Transport'!$AV$7:$AV$89,'Jul17-Jun18 Transport'!$D$7:$D$89,SBR!AW$4,'Jul17-Jun18 Transport'!$E$7:$E$89,SBR!$A$49)</f>
        <v>150</v>
      </c>
      <c r="AX49" s="158">
        <f>SUMIFS('Jul17-Jun18 Transport'!$AV$7:$AV$89,'Jul17-Jun18 Transport'!$D$7:$D$89,SBR!AX$4,'Jul17-Jun18 Transport'!$E$7:$E$89,SBR!$A$49)</f>
        <v>150</v>
      </c>
      <c r="AY49"/>
      <c r="AZ49" s="179"/>
    </row>
    <row r="50" spans="1:52" x14ac:dyDescent="0.25">
      <c r="A50" s="88" t="s">
        <v>87</v>
      </c>
      <c r="B50" s="150" t="s">
        <v>506</v>
      </c>
      <c r="C50" s="164">
        <f t="shared" si="69"/>
        <v>0</v>
      </c>
      <c r="D50" s="165">
        <f t="shared" si="61"/>
        <v>0</v>
      </c>
      <c r="E50" s="164">
        <f t="shared" si="62"/>
        <v>0</v>
      </c>
      <c r="F50" s="151"/>
      <c r="G50" s="129">
        <f t="shared" si="63"/>
        <v>0</v>
      </c>
      <c r="H50" s="130">
        <f t="shared" si="64"/>
        <v>0</v>
      </c>
      <c r="I50" s="129">
        <f t="shared" si="65"/>
        <v>0</v>
      </c>
      <c r="J50" s="123"/>
      <c r="K50" s="129">
        <f t="shared" si="66"/>
        <v>0</v>
      </c>
      <c r="L50" s="130">
        <f t="shared" si="67"/>
        <v>0</v>
      </c>
      <c r="M50" s="129">
        <f t="shared" si="68"/>
        <v>0</v>
      </c>
      <c r="O50" s="419">
        <f>SUMIFS('Jul17-Jun18 Transport'!$M$7:$M$89,'Jul17-Jun18 Transport'!$D$7:$D$89,SBR!O$4,'Jul17-Jun18 Transport'!$E$7:$E$89,SBR!$A$50)</f>
        <v>0</v>
      </c>
      <c r="P50" s="419">
        <f>SUMIFS('Jul17-Jun18 Transport'!$M$7:$M$89,'Jul17-Jun18 Transport'!$D$7:$D$89,SBR!P$4,'Jul17-Jun18 Transport'!$E$7:$E$89,SBR!$A$50)</f>
        <v>0</v>
      </c>
      <c r="Q50" s="419">
        <f>SUMIFS('Jul17-Jun18 Transport'!$M$7:$M$89,'Jul17-Jun18 Transport'!$D$7:$D$89,SBR!Q$4,'Jul17-Jun18 Transport'!$E$7:$E$89,SBR!$A$50)</f>
        <v>0</v>
      </c>
      <c r="R50" s="419">
        <f>SUMIFS('Jul17-Jun18 Transport'!$M$7:$M$89,'Jul17-Jun18 Transport'!$D$7:$D$89,SBR!R$4,'Jul17-Jun18 Transport'!$E$7:$E$89,SBR!$A$50)</f>
        <v>0</v>
      </c>
      <c r="S50" s="419">
        <f>SUMIFS('Jul17-Jun18 Transport'!$M$7:$M$89,'Jul17-Jun18 Transport'!$D$7:$D$89,SBR!S$4,'Jul17-Jun18 Transport'!$E$7:$E$89,SBR!$A$50)</f>
        <v>0</v>
      </c>
      <c r="T50" s="419">
        <f>SUMIFS('Jul17-Jun18 Transport'!$M$7:$M$89,'Jul17-Jun18 Transport'!$D$7:$D$89,SBR!T$4,'Jul17-Jun18 Transport'!$E$7:$E$89,SBR!$A$50)</f>
        <v>0</v>
      </c>
      <c r="U50" s="419">
        <f>SUMIFS('Jul17-Jun18 Transport'!$M$7:$M$89,'Jul17-Jun18 Transport'!$D$7:$D$89,SBR!U$4,'Jul17-Jun18 Transport'!$E$7:$E$89,SBR!$A$50)</f>
        <v>0</v>
      </c>
      <c r="V50" s="419">
        <f>SUMIFS('Jul17-Jun18 Transport'!$M$7:$M$89,'Jul17-Jun18 Transport'!$D$7:$D$89,SBR!V$4,'Jul17-Jun18 Transport'!$E$7:$E$89,SBR!$A$50)</f>
        <v>0</v>
      </c>
      <c r="W50" s="419">
        <f>SUMIFS('Jul17-Jun18 Transport'!$M$7:$M$89,'Jul17-Jun18 Transport'!$D$7:$D$89,SBR!W$4,'Jul17-Jun18 Transport'!$E$7:$E$89,SBR!$A$50)</f>
        <v>0</v>
      </c>
      <c r="X50" s="419">
        <f>SUMIFS('Jul17-Jun18 Transport'!$M$7:$M$89,'Jul17-Jun18 Transport'!$D$7:$D$89,SBR!X$4,'Jul17-Jun18 Transport'!$E$7:$E$89,SBR!$A$50)</f>
        <v>0</v>
      </c>
      <c r="Y50" s="419">
        <f>SUMIFS('Jul17-Jun18 Transport'!$M$7:$M$89,'Jul17-Jun18 Transport'!$D$7:$D$89,SBR!Y$4,'Jul17-Jun18 Transport'!$E$7:$E$89,SBR!$A$50)</f>
        <v>0</v>
      </c>
      <c r="Z50" s="419">
        <f>SUMIFS('Jul17-Jun18 Transport'!$M$7:$M$89,'Jul17-Jun18 Transport'!$D$7:$D$89,SBR!Z$4,'Jul17-Jun18 Transport'!$E$7:$E$89,SBR!$A$50)</f>
        <v>0</v>
      </c>
      <c r="AA50" s="285"/>
      <c r="AB50" s="285"/>
      <c r="AC50" s="285"/>
      <c r="AD50" s="285"/>
      <c r="AE50" s="285"/>
      <c r="AF50" s="285"/>
      <c r="AG50" s="421"/>
      <c r="AH50" s="421"/>
      <c r="AI50" s="421"/>
      <c r="AJ50" s="421"/>
      <c r="AK50" s="421"/>
      <c r="AL50" s="421"/>
      <c r="AM50" s="170">
        <f>SUMIFS('Jul17-Jun18 Transport'!$AV$7:$AV$89,'Jul17-Jun18 Transport'!$D$7:$D$89,SBR!AM$4,'Jul17-Jun18 Transport'!$E$7:$E$89,SBR!$A$50)</f>
        <v>0</v>
      </c>
      <c r="AN50" s="170">
        <f>SUMIFS('Jul17-Jun18 Transport'!$AV$7:$AV$89,'Jul17-Jun18 Transport'!$D$7:$D$89,SBR!AN$4,'Jul17-Jun18 Transport'!$E$7:$E$89,SBR!$A$50)</f>
        <v>0</v>
      </c>
      <c r="AO50" s="170">
        <f>SUMIFS('Jul17-Jun18 Transport'!$AV$7:$AV$89,'Jul17-Jun18 Transport'!$D$7:$D$89,SBR!AO$4,'Jul17-Jun18 Transport'!$E$7:$E$89,SBR!$A$50)</f>
        <v>0</v>
      </c>
      <c r="AP50" s="170">
        <f>SUMIFS('Jul17-Jun18 Transport'!$AV$7:$AV$89,'Jul17-Jun18 Transport'!$D$7:$D$89,SBR!AP$4,'Jul17-Jun18 Transport'!$E$7:$E$89,SBR!$A$50)</f>
        <v>0</v>
      </c>
      <c r="AQ50" s="170">
        <f>SUMIFS('Jul17-Jun18 Transport'!$AV$7:$AV$89,'Jul17-Jun18 Transport'!$D$7:$D$89,SBR!AQ$4,'Jul17-Jun18 Transport'!$E$7:$E$89,SBR!$A$50)</f>
        <v>0</v>
      </c>
      <c r="AR50" s="170">
        <f>SUMIFS('Jul17-Jun18 Transport'!$AV$7:$AV$89,'Jul17-Jun18 Transport'!$D$7:$D$89,SBR!AR$4,'Jul17-Jun18 Transport'!$E$7:$E$89,SBR!$A$50)</f>
        <v>0</v>
      </c>
      <c r="AS50" s="170">
        <f>SUMIFS('Jul17-Jun18 Transport'!$AV$7:$AV$89,'Jul17-Jun18 Transport'!$D$7:$D$89,SBR!AS$4,'Jul17-Jun18 Transport'!$E$7:$E$89,SBR!$A$50)</f>
        <v>0</v>
      </c>
      <c r="AT50" s="170">
        <f>SUMIFS('Jul17-Jun18 Transport'!$AV$7:$AV$89,'Jul17-Jun18 Transport'!$D$7:$D$89,SBR!AT$4,'Jul17-Jun18 Transport'!$E$7:$E$89,SBR!$A$50)</f>
        <v>0</v>
      </c>
      <c r="AU50" s="170">
        <f>SUMIFS('Jul17-Jun18 Transport'!$AV$7:$AV$89,'Jul17-Jun18 Transport'!$D$7:$D$89,SBR!AU$4,'Jul17-Jun18 Transport'!$E$7:$E$89,SBR!$A$50)</f>
        <v>0</v>
      </c>
      <c r="AV50" s="170">
        <f>SUMIFS('Jul17-Jun18 Transport'!$AV$7:$AV$89,'Jul17-Jun18 Transport'!$D$7:$D$89,SBR!AV$4,'Jul17-Jun18 Transport'!$E$7:$E$89,SBR!$A$50)</f>
        <v>0</v>
      </c>
      <c r="AW50" s="170">
        <f>SUMIFS('Jul17-Jun18 Transport'!$AV$7:$AV$89,'Jul17-Jun18 Transport'!$D$7:$D$89,SBR!AW$4,'Jul17-Jun18 Transport'!$E$7:$E$89,SBR!$A$50)</f>
        <v>0</v>
      </c>
      <c r="AX50" s="170">
        <f>SUMIFS('Jul17-Jun18 Transport'!$AV$7:$AV$89,'Jul17-Jun18 Transport'!$D$7:$D$89,SBR!AX$4,'Jul17-Jun18 Transport'!$E$7:$E$89,SBR!$A$50)</f>
        <v>0</v>
      </c>
      <c r="AY50"/>
      <c r="AZ50" s="179"/>
    </row>
    <row r="51" spans="1:52" x14ac:dyDescent="0.25">
      <c r="B51" s="150" t="s">
        <v>434</v>
      </c>
      <c r="C51" s="151">
        <f t="shared" si="69"/>
        <v>852</v>
      </c>
      <c r="D51" s="162">
        <f t="shared" si="61"/>
        <v>0</v>
      </c>
      <c r="E51" s="151">
        <f t="shared" si="62"/>
        <v>63900</v>
      </c>
      <c r="F51" s="151"/>
      <c r="G51" s="123">
        <f t="shared" si="63"/>
        <v>355</v>
      </c>
      <c r="H51" s="124">
        <f t="shared" si="64"/>
        <v>0</v>
      </c>
      <c r="I51" s="123">
        <f t="shared" si="65"/>
        <v>26625</v>
      </c>
      <c r="J51" s="151"/>
      <c r="K51" s="123">
        <f t="shared" si="66"/>
        <v>497</v>
      </c>
      <c r="L51" s="124">
        <f t="shared" si="67"/>
        <v>0</v>
      </c>
      <c r="M51" s="123">
        <f t="shared" si="68"/>
        <v>37275</v>
      </c>
      <c r="O51" s="177">
        <f>SUM(O48:O50)</f>
        <v>71</v>
      </c>
      <c r="P51" s="177">
        <f t="shared" ref="P51:Z51" si="70">SUM(P48:P50)</f>
        <v>71</v>
      </c>
      <c r="Q51" s="177">
        <f t="shared" si="70"/>
        <v>71</v>
      </c>
      <c r="R51" s="177">
        <f t="shared" si="70"/>
        <v>71</v>
      </c>
      <c r="S51" s="177">
        <f t="shared" si="70"/>
        <v>71</v>
      </c>
      <c r="T51" s="177">
        <f t="shared" si="70"/>
        <v>71</v>
      </c>
      <c r="U51" s="177">
        <f t="shared" si="70"/>
        <v>71</v>
      </c>
      <c r="V51" s="177">
        <f t="shared" si="70"/>
        <v>71</v>
      </c>
      <c r="W51" s="177">
        <f t="shared" si="70"/>
        <v>71</v>
      </c>
      <c r="X51" s="177">
        <f t="shared" si="70"/>
        <v>71</v>
      </c>
      <c r="Y51" s="177">
        <f t="shared" si="70"/>
        <v>71</v>
      </c>
      <c r="Z51" s="177">
        <f t="shared" si="70"/>
        <v>71</v>
      </c>
      <c r="AA51" s="174"/>
      <c r="AB51" s="174"/>
      <c r="AC51" s="174"/>
      <c r="AD51" s="174"/>
      <c r="AE51" s="174"/>
      <c r="AF51" s="174"/>
      <c r="AM51" s="158">
        <f t="shared" ref="AM51:AX51" si="71">SUM(AM48:AM50)</f>
        <v>5325</v>
      </c>
      <c r="AN51" s="158">
        <f t="shared" si="71"/>
        <v>5325</v>
      </c>
      <c r="AO51" s="158">
        <f t="shared" si="71"/>
        <v>5325</v>
      </c>
      <c r="AP51" s="158">
        <f t="shared" si="71"/>
        <v>5325</v>
      </c>
      <c r="AQ51" s="158">
        <f t="shared" si="71"/>
        <v>5325</v>
      </c>
      <c r="AR51" s="158">
        <f t="shared" si="71"/>
        <v>5325</v>
      </c>
      <c r="AS51" s="158">
        <f t="shared" si="71"/>
        <v>5325</v>
      </c>
      <c r="AT51" s="158">
        <f t="shared" si="71"/>
        <v>5325</v>
      </c>
      <c r="AU51" s="158">
        <f t="shared" si="71"/>
        <v>5325</v>
      </c>
      <c r="AV51" s="158">
        <f t="shared" si="71"/>
        <v>5325</v>
      </c>
      <c r="AW51" s="158">
        <f t="shared" si="71"/>
        <v>5325</v>
      </c>
      <c r="AX51" s="158">
        <f t="shared" si="71"/>
        <v>5325</v>
      </c>
      <c r="AY51"/>
      <c r="AZ51" s="179"/>
    </row>
    <row r="52" spans="1:52" x14ac:dyDescent="0.25">
      <c r="C52" s="181"/>
      <c r="D52" s="292"/>
      <c r="E52" s="181"/>
      <c r="I52" s="123"/>
      <c r="AA52" s="92"/>
      <c r="AB52" s="92"/>
      <c r="AC52" s="92"/>
      <c r="AD52" s="92"/>
      <c r="AE52" s="92"/>
      <c r="AF52" s="92"/>
      <c r="AL52" s="177"/>
      <c r="AM52" s="433"/>
      <c r="AN52" s="433"/>
      <c r="AO52" s="433"/>
      <c r="AP52" s="433"/>
      <c r="AQ52" s="433"/>
      <c r="AR52" s="433"/>
      <c r="AS52" s="160"/>
      <c r="AT52" s="160"/>
      <c r="AU52" s="160"/>
      <c r="AV52" s="160"/>
      <c r="AW52" s="160"/>
      <c r="AX52" s="160"/>
      <c r="AY52"/>
      <c r="AZ52" s="160"/>
    </row>
    <row r="53" spans="1:52" x14ac:dyDescent="0.25">
      <c r="B53" s="295"/>
      <c r="C53" s="164"/>
      <c r="D53" s="165"/>
      <c r="E53" s="164"/>
      <c r="G53" s="129">
        <f t="shared" si="63"/>
        <v>0</v>
      </c>
      <c r="H53" s="130">
        <f t="shared" si="64"/>
        <v>0</v>
      </c>
      <c r="I53" s="129">
        <f t="shared" si="65"/>
        <v>0</v>
      </c>
      <c r="J53" s="123"/>
      <c r="K53" s="123">
        <f t="shared" si="66"/>
        <v>0</v>
      </c>
      <c r="L53" s="124">
        <f t="shared" si="67"/>
        <v>0</v>
      </c>
      <c r="M53" s="123">
        <f t="shared" si="68"/>
        <v>0</v>
      </c>
      <c r="O53" s="109"/>
      <c r="P53" s="109"/>
      <c r="Q53" s="109"/>
      <c r="R53" s="109"/>
      <c r="S53" s="109"/>
      <c r="T53" s="109"/>
      <c r="U53" s="306"/>
      <c r="V53" s="129"/>
      <c r="W53" s="129"/>
      <c r="X53" s="129"/>
      <c r="Y53" s="129"/>
      <c r="Z53" s="129"/>
      <c r="AA53" s="110"/>
      <c r="AB53" s="110"/>
      <c r="AC53" s="110"/>
      <c r="AD53" s="110"/>
      <c r="AE53" s="110"/>
      <c r="AF53" s="110"/>
      <c r="AG53" s="109"/>
      <c r="AH53" s="109"/>
      <c r="AI53" s="109"/>
      <c r="AJ53" s="109"/>
      <c r="AK53" s="109"/>
      <c r="AL53" s="109"/>
      <c r="AM53" s="400"/>
      <c r="AN53" s="400"/>
      <c r="AO53" s="400"/>
      <c r="AP53" s="400"/>
      <c r="AQ53" s="400"/>
      <c r="AR53" s="400"/>
      <c r="AS53" s="398"/>
      <c r="AT53" s="398"/>
      <c r="AU53" s="398"/>
      <c r="AV53" s="398"/>
      <c r="AW53" s="398"/>
      <c r="AX53" s="398"/>
      <c r="AY53"/>
      <c r="AZ53" s="160"/>
    </row>
    <row r="54" spans="1:52" x14ac:dyDescent="0.25">
      <c r="B54" s="295"/>
      <c r="C54" s="180"/>
      <c r="D54" s="387"/>
      <c r="E54" s="180"/>
      <c r="G54" s="131"/>
      <c r="H54" s="322"/>
      <c r="I54" s="131"/>
      <c r="J54" s="123"/>
      <c r="K54" s="123"/>
      <c r="L54" s="322"/>
      <c r="M54" s="131"/>
      <c r="O54" s="111"/>
      <c r="P54" s="111"/>
      <c r="Q54" s="111"/>
      <c r="R54" s="111"/>
      <c r="S54" s="111"/>
      <c r="T54" s="111"/>
      <c r="U54" s="101"/>
      <c r="V54" s="131"/>
      <c r="W54" s="131"/>
      <c r="X54" s="131"/>
      <c r="Y54" s="131"/>
      <c r="Z54" s="131"/>
      <c r="AA54" s="394"/>
      <c r="AB54" s="394"/>
      <c r="AC54" s="394"/>
      <c r="AD54" s="394"/>
      <c r="AE54" s="394"/>
      <c r="AF54" s="394"/>
      <c r="AG54" s="111"/>
      <c r="AH54" s="111"/>
      <c r="AI54" s="111"/>
      <c r="AJ54" s="111"/>
      <c r="AK54" s="111"/>
      <c r="AL54" s="111"/>
      <c r="AM54" s="399"/>
      <c r="AN54" s="399"/>
      <c r="AO54" s="399"/>
      <c r="AP54" s="399"/>
      <c r="AQ54" s="399"/>
      <c r="AR54" s="399"/>
      <c r="AS54" s="397"/>
      <c r="AT54" s="397"/>
      <c r="AU54" s="397"/>
      <c r="AV54" s="397"/>
      <c r="AW54" s="397"/>
      <c r="AX54" s="397"/>
      <c r="AY54"/>
      <c r="AZ54" s="160"/>
    </row>
    <row r="55" spans="1:52" x14ac:dyDescent="0.25">
      <c r="B55" s="92" t="s">
        <v>598</v>
      </c>
      <c r="C55" s="151">
        <f ca="1">C8+C12+C15+C19</f>
        <v>3859069</v>
      </c>
      <c r="D55" s="151">
        <f>D8+D12+D15+D19</f>
        <v>31271474.42477886</v>
      </c>
      <c r="E55" s="151">
        <f ca="1">E8+E12+E15+E19</f>
        <v>315902323.16000003</v>
      </c>
      <c r="G55" s="123">
        <f t="shared" si="63"/>
        <v>408.99999998299995</v>
      </c>
      <c r="H55" s="124">
        <f>SUM(AA55:AA55)</f>
        <v>1210290</v>
      </c>
      <c r="I55" s="123">
        <f t="shared" si="65"/>
        <v>0</v>
      </c>
      <c r="J55" s="181"/>
      <c r="K55" s="123">
        <f t="shared" si="66"/>
        <v>566.99999999300007</v>
      </c>
      <c r="L55" s="124">
        <f t="shared" si="67"/>
        <v>3494070</v>
      </c>
      <c r="M55" s="123">
        <f t="shared" si="68"/>
        <v>0</v>
      </c>
      <c r="O55" s="336">
        <v>80.999999999000011</v>
      </c>
      <c r="P55" s="336">
        <v>80.999999999000011</v>
      </c>
      <c r="Q55" s="336">
        <v>80.999999999000011</v>
      </c>
      <c r="R55" s="336">
        <v>80.999999999000011</v>
      </c>
      <c r="S55" s="336">
        <v>80.999999999000011</v>
      </c>
      <c r="T55" s="336">
        <v>80.999999999000011</v>
      </c>
      <c r="U55" s="336">
        <v>80.999999999000011</v>
      </c>
      <c r="V55" s="336">
        <v>80.999999999000011</v>
      </c>
      <c r="W55" s="336">
        <v>81.999999996</v>
      </c>
      <c r="X55" s="336">
        <v>81.999999996</v>
      </c>
      <c r="Y55" s="336">
        <v>81.999999996</v>
      </c>
      <c r="Z55" s="336">
        <v>81.999999996</v>
      </c>
      <c r="AA55" s="188">
        <v>1210290</v>
      </c>
      <c r="AB55" s="188">
        <v>970947</v>
      </c>
      <c r="AC55" s="188">
        <v>962230</v>
      </c>
      <c r="AD55" s="188">
        <v>809965</v>
      </c>
      <c r="AE55" s="188">
        <v>750928</v>
      </c>
      <c r="AF55" s="188"/>
      <c r="AG55" s="188"/>
      <c r="AH55" s="188"/>
      <c r="AI55" s="188"/>
      <c r="AJ55" s="188"/>
      <c r="AK55" s="188"/>
      <c r="AL55" s="188"/>
      <c r="AM55" s="401"/>
      <c r="AN55" s="401"/>
      <c r="AO55" s="401"/>
      <c r="AP55" s="401"/>
      <c r="AQ55" s="401"/>
      <c r="AR55" s="401"/>
      <c r="AS55" s="402"/>
      <c r="AT55" s="402"/>
      <c r="AU55" s="402"/>
      <c r="AV55" s="402"/>
      <c r="AW55" s="402"/>
      <c r="AX55" s="402"/>
      <c r="AY55"/>
    </row>
    <row r="56" spans="1:52" x14ac:dyDescent="0.25">
      <c r="B56" s="92" t="s">
        <v>597</v>
      </c>
      <c r="C56" s="151">
        <f>C30</f>
        <v>12</v>
      </c>
      <c r="D56" s="151">
        <f>D30</f>
        <v>154579.79999999999</v>
      </c>
      <c r="E56" s="151">
        <f ca="1">E30</f>
        <v>2922300.5600000005</v>
      </c>
      <c r="G56" s="123"/>
      <c r="H56" s="124"/>
      <c r="I56" s="123"/>
      <c r="J56" s="181"/>
      <c r="K56" s="123"/>
      <c r="L56" s="124"/>
      <c r="M56" s="123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401"/>
      <c r="AN56" s="401"/>
      <c r="AO56" s="401"/>
      <c r="AP56" s="401"/>
      <c r="AQ56" s="401"/>
      <c r="AR56" s="401"/>
      <c r="AS56" s="402"/>
      <c r="AT56" s="402"/>
      <c r="AU56" s="402"/>
      <c r="AV56" s="402"/>
      <c r="AW56" s="402"/>
      <c r="AX56" s="402"/>
      <c r="AY56"/>
    </row>
    <row r="57" spans="1:52" x14ac:dyDescent="0.25">
      <c r="B57" s="92" t="s">
        <v>303</v>
      </c>
      <c r="C57" s="151">
        <f>C41+C45+C51</f>
        <v>1812</v>
      </c>
      <c r="D57" s="151">
        <f>D41+D45+D51</f>
        <v>13029498.721787862</v>
      </c>
      <c r="E57" s="151">
        <f ca="1">E41+E45+E51</f>
        <v>9076883.3300000001</v>
      </c>
      <c r="G57" s="123"/>
      <c r="AA57" s="95">
        <f t="shared" ref="AA57:AR57" si="72">AA41+AA45+AA51+AA53</f>
        <v>750240.43751380465</v>
      </c>
      <c r="AB57" s="95">
        <f t="shared" si="72"/>
        <v>792200.40311901714</v>
      </c>
      <c r="AC57" s="95">
        <f t="shared" si="72"/>
        <v>833022.49668393773</v>
      </c>
      <c r="AD57" s="95">
        <f t="shared" si="72"/>
        <v>1243556.491695941</v>
      </c>
      <c r="AE57" s="95">
        <f t="shared" si="72"/>
        <v>1529704.5525735177</v>
      </c>
      <c r="AF57" s="95">
        <f t="shared" si="72"/>
        <v>1568426.7880596665</v>
      </c>
      <c r="AG57" s="95">
        <f t="shared" si="72"/>
        <v>1569555.9064901478</v>
      </c>
      <c r="AH57" s="95">
        <f t="shared" si="72"/>
        <v>1354056.356680478</v>
      </c>
      <c r="AI57" s="95">
        <f t="shared" si="72"/>
        <v>1089299.7627430197</v>
      </c>
      <c r="AJ57" s="95">
        <f t="shared" si="72"/>
        <v>822688.23347519536</v>
      </c>
      <c r="AK57" s="95">
        <f t="shared" si="72"/>
        <v>750549.70524241915</v>
      </c>
      <c r="AL57" s="95">
        <f t="shared" si="72"/>
        <v>726197.5875107192</v>
      </c>
      <c r="AM57" s="399">
        <f t="shared" ca="1" si="72"/>
        <v>621294.05000000005</v>
      </c>
      <c r="AN57" s="399">
        <f t="shared" ca="1" si="72"/>
        <v>665818.76</v>
      </c>
      <c r="AO57" s="399">
        <f t="shared" ca="1" si="72"/>
        <v>697520.46</v>
      </c>
      <c r="AP57" s="399">
        <f t="shared" ca="1" si="72"/>
        <v>980000.01</v>
      </c>
      <c r="AQ57" s="399">
        <f t="shared" ca="1" si="72"/>
        <v>1035241.6900000001</v>
      </c>
      <c r="AR57" s="399">
        <f t="shared" ca="1" si="72"/>
        <v>893308.67999999993</v>
      </c>
      <c r="AS57" s="399">
        <f t="shared" ref="AS57:AX57" ca="1" si="73">AS41+AS45+AS51+AS53</f>
        <v>852986.88</v>
      </c>
      <c r="AT57" s="399">
        <f t="shared" ca="1" si="73"/>
        <v>750109.45</v>
      </c>
      <c r="AU57" s="399">
        <f t="shared" ca="1" si="73"/>
        <v>682918.79</v>
      </c>
      <c r="AV57" s="399">
        <f t="shared" ca="1" si="73"/>
        <v>608791.79</v>
      </c>
      <c r="AW57" s="399">
        <f t="shared" ca="1" si="73"/>
        <v>636018.61</v>
      </c>
      <c r="AX57" s="399">
        <f t="shared" ca="1" si="73"/>
        <v>652874.15999999992</v>
      </c>
      <c r="AY57"/>
      <c r="AZ57" s="160"/>
    </row>
    <row r="58" spans="1:52" x14ac:dyDescent="0.25">
      <c r="C58" s="92"/>
      <c r="D58" s="92"/>
      <c r="E58" s="92"/>
      <c r="G58" s="123">
        <f t="shared" si="63"/>
        <v>0</v>
      </c>
      <c r="H58" s="124">
        <f>SUM(AA58:AA58)</f>
        <v>750240.43751380465</v>
      </c>
      <c r="I58" s="123">
        <f t="shared" ca="1" si="65"/>
        <v>3201897.4000000004</v>
      </c>
      <c r="J58" s="181"/>
      <c r="K58" s="123">
        <f t="shared" si="66"/>
        <v>0</v>
      </c>
      <c r="L58" s="124">
        <f t="shared" si="67"/>
        <v>8890522.995302707</v>
      </c>
      <c r="M58" s="123">
        <f t="shared" ca="1" si="68"/>
        <v>5874985.9299999997</v>
      </c>
      <c r="U58" s="123"/>
      <c r="V58" s="123"/>
      <c r="W58" s="123"/>
      <c r="X58" s="123"/>
      <c r="Y58" s="123"/>
      <c r="Z58" s="123"/>
      <c r="AA58" s="149">
        <f t="shared" ref="AA58:AL58" si="74">SUM(AA37:AA40,AA43:AA44)+AA53</f>
        <v>750240.43751380465</v>
      </c>
      <c r="AB58" s="149">
        <f t="shared" si="74"/>
        <v>792200.40311901714</v>
      </c>
      <c r="AC58" s="149">
        <f t="shared" si="74"/>
        <v>833022.49668393773</v>
      </c>
      <c r="AD58" s="149">
        <f t="shared" si="74"/>
        <v>1243556.491695941</v>
      </c>
      <c r="AE58" s="149">
        <f t="shared" si="74"/>
        <v>1529704.5525735177</v>
      </c>
      <c r="AF58" s="149">
        <f t="shared" si="74"/>
        <v>1568426.7880596665</v>
      </c>
      <c r="AG58" s="149">
        <f t="shared" si="74"/>
        <v>1569555.9064901478</v>
      </c>
      <c r="AH58" s="149">
        <f t="shared" si="74"/>
        <v>1354056.356680478</v>
      </c>
      <c r="AI58" s="149">
        <f t="shared" si="74"/>
        <v>1089299.7627430197</v>
      </c>
      <c r="AJ58" s="149">
        <f t="shared" si="74"/>
        <v>822688.23347519536</v>
      </c>
      <c r="AK58" s="149">
        <f t="shared" si="74"/>
        <v>750549.70524241915</v>
      </c>
      <c r="AL58" s="149">
        <f t="shared" si="74"/>
        <v>726197.5875107192</v>
      </c>
      <c r="AM58" s="396">
        <f t="shared" ref="AM58:AR58" ca="1" si="75">SUM(AM37:AM40)+SUM(AM43:AM44)+SUM(AM48:AM49)+AM53</f>
        <v>621294.05000000005</v>
      </c>
      <c r="AN58" s="396">
        <f t="shared" ca="1" si="75"/>
        <v>665818.76</v>
      </c>
      <c r="AO58" s="396">
        <f t="shared" ca="1" si="75"/>
        <v>697520.46</v>
      </c>
      <c r="AP58" s="396">
        <f t="shared" ca="1" si="75"/>
        <v>980000.01</v>
      </c>
      <c r="AQ58" s="396">
        <f t="shared" ca="1" si="75"/>
        <v>1035241.6900000001</v>
      </c>
      <c r="AR58" s="396">
        <f t="shared" ca="1" si="75"/>
        <v>893308.67999999993</v>
      </c>
      <c r="AS58" s="396">
        <f t="shared" ref="AS58:AX58" ca="1" si="76">SUM(AS37:AS40)+SUM(AS43:AS44)+SUM(AS48:AS49)+AS53</f>
        <v>852986.88</v>
      </c>
      <c r="AT58" s="396">
        <f t="shared" ca="1" si="76"/>
        <v>750109.45</v>
      </c>
      <c r="AU58" s="396">
        <f t="shared" ca="1" si="76"/>
        <v>682918.79</v>
      </c>
      <c r="AV58" s="396">
        <f t="shared" ca="1" si="76"/>
        <v>608791.79</v>
      </c>
      <c r="AW58" s="396">
        <f t="shared" ca="1" si="76"/>
        <v>636018.61</v>
      </c>
      <c r="AX58" s="396">
        <f t="shared" ca="1" si="76"/>
        <v>652874.15999999992</v>
      </c>
      <c r="AY58"/>
      <c r="AZ58" s="160"/>
    </row>
    <row r="59" spans="1:52" x14ac:dyDescent="0.25">
      <c r="B59" s="92" t="s">
        <v>381</v>
      </c>
      <c r="C59" s="181">
        <f ca="1">SUM(C55:C58)</f>
        <v>3860893</v>
      </c>
      <c r="D59" s="181">
        <f t="shared" ref="D59:E59" si="77">SUM(D55:D58)</f>
        <v>44455552.946566723</v>
      </c>
      <c r="E59" s="181">
        <f t="shared" ca="1" si="77"/>
        <v>327901507.05000001</v>
      </c>
      <c r="G59" s="123">
        <f t="shared" si="63"/>
        <v>0</v>
      </c>
      <c r="H59" s="124">
        <f>SUM(AA59:AA59)</f>
        <v>-460049.56248619535</v>
      </c>
      <c r="I59" s="123">
        <f t="shared" ca="1" si="65"/>
        <v>3201897.4000000004</v>
      </c>
      <c r="K59" s="123">
        <f t="shared" si="66"/>
        <v>0</v>
      </c>
      <c r="L59" s="124">
        <f t="shared" si="67"/>
        <v>5396452.995302706</v>
      </c>
      <c r="M59" s="123">
        <f t="shared" ca="1" si="68"/>
        <v>5874985.9299999997</v>
      </c>
      <c r="O59" s="123"/>
      <c r="U59" s="123"/>
      <c r="V59" s="123"/>
      <c r="W59" s="123"/>
      <c r="X59" s="123"/>
      <c r="Y59" s="123"/>
      <c r="Z59" s="123"/>
      <c r="AA59" s="191">
        <f>+AA58-AA55</f>
        <v>-460049.56248619535</v>
      </c>
      <c r="AB59" s="191">
        <f>+AB58-AB55</f>
        <v>-178746.59688098286</v>
      </c>
      <c r="AC59" s="191">
        <f t="shared" ref="AC59:AL59" si="78">+AC58-AC55</f>
        <v>-129207.50331606227</v>
      </c>
      <c r="AD59" s="191">
        <f t="shared" si="78"/>
        <v>433591.49169594096</v>
      </c>
      <c r="AE59" s="191">
        <f t="shared" si="78"/>
        <v>778776.55257351766</v>
      </c>
      <c r="AF59" s="191">
        <f t="shared" si="78"/>
        <v>1568426.7880596665</v>
      </c>
      <c r="AG59" s="191">
        <f t="shared" si="78"/>
        <v>1569555.9064901478</v>
      </c>
      <c r="AH59" s="191">
        <f t="shared" si="78"/>
        <v>1354056.356680478</v>
      </c>
      <c r="AI59" s="191">
        <f t="shared" si="78"/>
        <v>1089299.7627430197</v>
      </c>
      <c r="AJ59" s="191">
        <f t="shared" si="78"/>
        <v>822688.23347519536</v>
      </c>
      <c r="AK59" s="191">
        <f t="shared" si="78"/>
        <v>750549.70524241915</v>
      </c>
      <c r="AL59" s="191">
        <f t="shared" si="78"/>
        <v>726197.5875107192</v>
      </c>
      <c r="AM59" s="183">
        <f t="shared" ref="AM59:AR59" ca="1" si="79">+AM58-AM55</f>
        <v>621294.05000000005</v>
      </c>
      <c r="AN59" s="183">
        <f t="shared" ca="1" si="79"/>
        <v>665818.76</v>
      </c>
      <c r="AO59" s="183">
        <f t="shared" ca="1" si="79"/>
        <v>697520.46</v>
      </c>
      <c r="AP59" s="183">
        <f t="shared" ca="1" si="79"/>
        <v>980000.01</v>
      </c>
      <c r="AQ59" s="183">
        <f t="shared" ca="1" si="79"/>
        <v>1035241.6900000001</v>
      </c>
      <c r="AR59" s="183">
        <f t="shared" ca="1" si="79"/>
        <v>893308.67999999993</v>
      </c>
      <c r="AS59" s="183">
        <f t="shared" ref="AS59:AX59" ca="1" si="80">+AS58-AS55</f>
        <v>852986.88</v>
      </c>
      <c r="AT59" s="183">
        <f t="shared" ca="1" si="80"/>
        <v>750109.45</v>
      </c>
      <c r="AU59" s="183">
        <f t="shared" ca="1" si="80"/>
        <v>682918.79</v>
      </c>
      <c r="AV59" s="183">
        <f t="shared" ca="1" si="80"/>
        <v>608791.79</v>
      </c>
      <c r="AW59" s="183">
        <f t="shared" ca="1" si="80"/>
        <v>636018.61</v>
      </c>
      <c r="AX59" s="183">
        <f t="shared" ca="1" si="80"/>
        <v>652874.15999999992</v>
      </c>
      <c r="AY59"/>
    </row>
    <row r="60" spans="1:52" x14ac:dyDescent="0.25">
      <c r="D60" s="93"/>
      <c r="AN60" s="40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/>
      <c r="AZ60" s="128"/>
    </row>
    <row r="61" spans="1:52" x14ac:dyDescent="0.25">
      <c r="C61" s="181"/>
      <c r="D61" s="160"/>
      <c r="E61" s="181"/>
      <c r="AM61" s="182"/>
      <c r="AN61" s="184"/>
      <c r="AO61" s="184"/>
      <c r="AP61" s="184"/>
      <c r="AQ61" s="184"/>
      <c r="AR61" s="184"/>
      <c r="AS61" s="182"/>
      <c r="AT61" s="182"/>
      <c r="AU61" s="182"/>
      <c r="AV61" s="182"/>
      <c r="AW61" s="182"/>
      <c r="AX61" s="182"/>
      <c r="AY61"/>
    </row>
    <row r="62" spans="1:52" x14ac:dyDescent="0.25">
      <c r="C62" s="181"/>
      <c r="D62" s="181"/>
      <c r="E62" s="181"/>
      <c r="AA62" s="93">
        <f t="shared" ref="AA62:AX62" si="81">+AA22+AA32+AA55</f>
        <v>1210290</v>
      </c>
      <c r="AB62" s="93">
        <f t="shared" si="81"/>
        <v>970947</v>
      </c>
      <c r="AC62" s="93">
        <f t="shared" si="81"/>
        <v>962230</v>
      </c>
      <c r="AD62" s="93">
        <f t="shared" si="81"/>
        <v>809965</v>
      </c>
      <c r="AE62" s="93">
        <f t="shared" si="81"/>
        <v>750928</v>
      </c>
      <c r="AF62" s="93">
        <f t="shared" si="81"/>
        <v>0</v>
      </c>
      <c r="AG62" s="93">
        <f t="shared" si="81"/>
        <v>0</v>
      </c>
      <c r="AH62" s="93">
        <f t="shared" si="81"/>
        <v>0</v>
      </c>
      <c r="AI62" s="93">
        <f t="shared" si="81"/>
        <v>0</v>
      </c>
      <c r="AJ62" s="93">
        <f t="shared" si="81"/>
        <v>0</v>
      </c>
      <c r="AK62" s="93">
        <f t="shared" si="81"/>
        <v>0</v>
      </c>
      <c r="AL62" s="93">
        <f t="shared" si="81"/>
        <v>0</v>
      </c>
      <c r="AM62" s="93">
        <f t="shared" si="81"/>
        <v>0</v>
      </c>
      <c r="AN62" s="93">
        <f t="shared" si="81"/>
        <v>0</v>
      </c>
      <c r="AO62" s="93">
        <f t="shared" si="81"/>
        <v>0</v>
      </c>
      <c r="AP62" s="93">
        <f t="shared" si="81"/>
        <v>0</v>
      </c>
      <c r="AQ62" s="93">
        <f t="shared" si="81"/>
        <v>0</v>
      </c>
      <c r="AR62" s="93">
        <f t="shared" si="81"/>
        <v>0</v>
      </c>
      <c r="AS62" s="93">
        <f t="shared" si="81"/>
        <v>0</v>
      </c>
      <c r="AT62" s="93">
        <f t="shared" si="81"/>
        <v>0</v>
      </c>
      <c r="AU62" s="93">
        <f t="shared" si="81"/>
        <v>0</v>
      </c>
      <c r="AV62" s="93">
        <f t="shared" si="81"/>
        <v>0</v>
      </c>
      <c r="AW62" s="93">
        <f t="shared" si="81"/>
        <v>0</v>
      </c>
      <c r="AX62" s="93">
        <f t="shared" si="81"/>
        <v>0</v>
      </c>
      <c r="AY62"/>
    </row>
    <row r="63" spans="1:52" x14ac:dyDescent="0.25">
      <c r="H63" s="192"/>
      <c r="AA63" s="93">
        <f t="shared" ref="AA63:AX63" si="82">+AA23+AA33+AA58</f>
        <v>1460734.7751009646</v>
      </c>
      <c r="AB63" s="93">
        <f t="shared" si="82"/>
        <v>1521345.9675550924</v>
      </c>
      <c r="AC63" s="93">
        <f t="shared" si="82"/>
        <v>1608015.3293030744</v>
      </c>
      <c r="AD63" s="93">
        <f t="shared" si="82"/>
        <v>2583797.7950340076</v>
      </c>
      <c r="AE63" s="93">
        <f t="shared" si="82"/>
        <v>4386580.0670581432</v>
      </c>
      <c r="AF63" s="93">
        <f t="shared" si="82"/>
        <v>6728815.9365725741</v>
      </c>
      <c r="AG63" s="93">
        <f t="shared" si="82"/>
        <v>8097444.0575118074</v>
      </c>
      <c r="AH63" s="93">
        <f t="shared" si="82"/>
        <v>6938838.982707683</v>
      </c>
      <c r="AI63" s="93">
        <f t="shared" si="82"/>
        <v>5021912.309901326</v>
      </c>
      <c r="AJ63" s="93">
        <f t="shared" si="82"/>
        <v>2710261.9947777828</v>
      </c>
      <c r="AK63" s="93">
        <f t="shared" si="82"/>
        <v>1895547.3563737208</v>
      </c>
      <c r="AL63" s="93">
        <f t="shared" si="82"/>
        <v>1502260.5746705504</v>
      </c>
      <c r="AM63" s="93">
        <f t="shared" ca="1" si="82"/>
        <v>13043866.979999999</v>
      </c>
      <c r="AN63" s="93">
        <f t="shared" ca="1" si="82"/>
        <v>12949261.25</v>
      </c>
      <c r="AO63" s="93">
        <f t="shared" ca="1" si="82"/>
        <v>13437337.709999997</v>
      </c>
      <c r="AP63" s="93">
        <f t="shared" ca="1" si="82"/>
        <v>16205627.030000001</v>
      </c>
      <c r="AQ63" s="93">
        <f t="shared" ca="1" si="82"/>
        <v>27254136.590000004</v>
      </c>
      <c r="AR63" s="93">
        <f t="shared" ca="1" si="82"/>
        <v>43038904.550000004</v>
      </c>
      <c r="AS63" s="93">
        <f t="shared" ca="1" si="82"/>
        <v>54828585.439999998</v>
      </c>
      <c r="AT63" s="93">
        <f t="shared" ca="1" si="82"/>
        <v>50117325.960000001</v>
      </c>
      <c r="AU63" s="93">
        <f t="shared" ca="1" si="82"/>
        <v>40254897.919999987</v>
      </c>
      <c r="AV63" s="93">
        <f t="shared" ca="1" si="82"/>
        <v>24388367.52</v>
      </c>
      <c r="AW63" s="93">
        <f t="shared" ca="1" si="82"/>
        <v>18067086.32</v>
      </c>
      <c r="AX63" s="93">
        <f t="shared" ca="1" si="82"/>
        <v>14316109.779999997</v>
      </c>
      <c r="AY63"/>
    </row>
    <row r="64" spans="1:52" x14ac:dyDescent="0.25">
      <c r="AA64" s="93">
        <f>+AA63-AA62</f>
        <v>250444.77510096459</v>
      </c>
      <c r="AB64" s="93">
        <f t="shared" ref="AB64:AE64" si="83">+AB63-AB62</f>
        <v>550398.96755509241</v>
      </c>
      <c r="AC64" s="93">
        <f t="shared" si="83"/>
        <v>645785.3293030744</v>
      </c>
      <c r="AD64" s="93">
        <f t="shared" si="83"/>
        <v>1773832.7950340076</v>
      </c>
      <c r="AE64" s="93">
        <f t="shared" si="83"/>
        <v>3635652.0670581432</v>
      </c>
      <c r="AF64" s="93">
        <f>+AF63-AF62</f>
        <v>6728815.9365725741</v>
      </c>
      <c r="AG64" s="93">
        <f t="shared" ref="AG64:AL64" si="84">+AG63-AG62</f>
        <v>8097444.0575118074</v>
      </c>
      <c r="AH64" s="93">
        <f t="shared" si="84"/>
        <v>6938838.982707683</v>
      </c>
      <c r="AI64" s="93">
        <f t="shared" si="84"/>
        <v>5021912.309901326</v>
      </c>
      <c r="AJ64" s="93">
        <f t="shared" si="84"/>
        <v>2710261.9947777828</v>
      </c>
      <c r="AK64" s="93">
        <f t="shared" si="84"/>
        <v>1895547.3563737208</v>
      </c>
      <c r="AL64" s="93">
        <f t="shared" si="84"/>
        <v>1502260.5746705504</v>
      </c>
      <c r="AM64" s="93">
        <f t="shared" ref="AM64:AR64" ca="1" si="85">+AM63-AM62</f>
        <v>13043866.979999999</v>
      </c>
      <c r="AN64" s="93">
        <f t="shared" ca="1" si="85"/>
        <v>12949261.25</v>
      </c>
      <c r="AO64" s="93">
        <f t="shared" ca="1" si="85"/>
        <v>13437337.709999997</v>
      </c>
      <c r="AP64" s="93">
        <f t="shared" ca="1" si="85"/>
        <v>16205627.030000001</v>
      </c>
      <c r="AQ64" s="93">
        <f t="shared" ca="1" si="85"/>
        <v>27254136.590000004</v>
      </c>
      <c r="AR64" s="93">
        <f t="shared" ca="1" si="85"/>
        <v>43038904.550000004</v>
      </c>
      <c r="AS64" s="93">
        <f t="shared" ref="AS64:AX64" ca="1" si="86">+AS63-AS62</f>
        <v>54828585.439999998</v>
      </c>
      <c r="AT64" s="93">
        <f t="shared" ca="1" si="86"/>
        <v>50117325.960000001</v>
      </c>
      <c r="AU64" s="93">
        <f t="shared" ca="1" si="86"/>
        <v>40254897.919999987</v>
      </c>
      <c r="AV64" s="93">
        <f t="shared" ca="1" si="86"/>
        <v>24388367.52</v>
      </c>
      <c r="AW64" s="93">
        <f t="shared" ca="1" si="86"/>
        <v>18067086.32</v>
      </c>
      <c r="AX64" s="93">
        <f t="shared" ca="1" si="86"/>
        <v>14316109.779999997</v>
      </c>
      <c r="AY64"/>
    </row>
    <row r="65" spans="40:51" x14ac:dyDescent="0.25">
      <c r="AN65" s="95"/>
      <c r="AO65" s="95"/>
      <c r="AP65" s="95"/>
      <c r="AQ65" s="95"/>
      <c r="AR65" s="95"/>
      <c r="AY65"/>
    </row>
    <row r="66" spans="40:51" x14ac:dyDescent="0.25">
      <c r="AN66" s="95"/>
      <c r="AO66" s="95"/>
      <c r="AP66" s="95"/>
      <c r="AQ66" s="95"/>
      <c r="AR66" s="95"/>
      <c r="AY66"/>
    </row>
    <row r="67" spans="40:51" x14ac:dyDescent="0.25">
      <c r="AN67" s="95"/>
      <c r="AO67" s="95"/>
      <c r="AP67" s="95"/>
      <c r="AQ67" s="95"/>
      <c r="AR67" s="95"/>
      <c r="AY67"/>
    </row>
    <row r="68" spans="40:51" x14ac:dyDescent="0.25">
      <c r="AN68" s="95"/>
      <c r="AO68" s="95"/>
      <c r="AP68" s="95"/>
      <c r="AQ68" s="95"/>
      <c r="AR68" s="95"/>
      <c r="AY68"/>
    </row>
    <row r="69" spans="40:51" x14ac:dyDescent="0.25">
      <c r="AN69" s="95"/>
      <c r="AO69" s="95"/>
      <c r="AP69" s="95"/>
      <c r="AQ69" s="95"/>
      <c r="AR69" s="95"/>
      <c r="AY69"/>
    </row>
    <row r="70" spans="40:51" x14ac:dyDescent="0.25">
      <c r="AN70" s="95"/>
      <c r="AO70" s="95"/>
      <c r="AP70" s="95"/>
      <c r="AQ70" s="95"/>
      <c r="AR70" s="95"/>
      <c r="AY70"/>
    </row>
  </sheetData>
  <mergeCells count="3">
    <mergeCell ref="C4:E4"/>
    <mergeCell ref="G4:I4"/>
    <mergeCell ref="K4:M4"/>
  </mergeCells>
  <pageMargins left="0.75" right="0.25" top="1.25" bottom="0.59" header="0.73" footer="0.2"/>
  <pageSetup scale="2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39997558519241921"/>
  </sheetPr>
  <dimension ref="A1:AO346"/>
  <sheetViews>
    <sheetView workbookViewId="0"/>
  </sheetViews>
  <sheetFormatPr defaultRowHeight="15" x14ac:dyDescent="0.25"/>
  <cols>
    <col min="1" max="2" width="9.140625" style="13"/>
    <col min="3" max="3" width="14" style="13" bestFit="1" customWidth="1"/>
    <col min="4" max="4" width="9.140625" style="13"/>
    <col min="5" max="5" width="17.28515625" style="13" customWidth="1"/>
    <col min="6" max="8" width="11.85546875" style="13" customWidth="1"/>
    <col min="9" max="9" width="13.85546875" style="13" customWidth="1"/>
    <col min="10" max="10" width="11.42578125" style="13" customWidth="1"/>
    <col min="11" max="12" width="11.140625" style="13" customWidth="1"/>
    <col min="13" max="13" width="17" style="13" customWidth="1"/>
    <col min="14" max="14" width="14.42578125" style="13" customWidth="1"/>
    <col min="15" max="15" width="15.28515625" style="13" customWidth="1"/>
    <col min="16" max="16" width="12.85546875" style="13" customWidth="1"/>
    <col min="17" max="17" width="15.28515625" style="13" customWidth="1"/>
    <col min="18" max="18" width="16.42578125" style="13" customWidth="1"/>
    <col min="19" max="19" width="15.5703125" style="13" customWidth="1"/>
    <col min="20" max="20" width="11.28515625" style="13" customWidth="1"/>
    <col min="21" max="21" width="17.28515625" style="13" customWidth="1"/>
    <col min="22" max="22" width="13.5703125" style="13" bestFit="1" customWidth="1"/>
    <col min="23" max="23" width="14.5703125" style="13" bestFit="1" customWidth="1"/>
    <col min="24" max="24" width="17.28515625" style="13" customWidth="1"/>
    <col min="25" max="25" width="17.140625" style="13" bestFit="1" customWidth="1"/>
    <col min="26" max="26" width="15.85546875" style="13" customWidth="1"/>
    <col min="27" max="27" width="15" style="13" bestFit="1" customWidth="1"/>
    <col min="28" max="28" width="17.140625" style="13" bestFit="1" customWidth="1"/>
    <col min="29" max="29" width="14.42578125" style="13" bestFit="1" customWidth="1"/>
    <col min="30" max="30" width="13.140625" style="13" bestFit="1" customWidth="1"/>
    <col min="31" max="31" width="16.42578125" style="13" bestFit="1" customWidth="1"/>
    <col min="32" max="32" width="16" style="13" bestFit="1" customWidth="1"/>
    <col min="33" max="33" width="15" style="13" bestFit="1" customWidth="1"/>
    <col min="34" max="34" width="16.5703125" style="13" bestFit="1" customWidth="1"/>
    <col min="35" max="35" width="14.28515625" bestFit="1" customWidth="1"/>
    <col min="36" max="36" width="16" customWidth="1"/>
    <col min="37" max="37" width="14.42578125" bestFit="1" customWidth="1"/>
    <col min="38" max="38" width="15.42578125" bestFit="1" customWidth="1"/>
    <col min="39" max="39" width="14" customWidth="1"/>
  </cols>
  <sheetData>
    <row r="1" spans="1:41" s="13" customFormat="1" x14ac:dyDescent="0.25">
      <c r="A1" s="5"/>
      <c r="B1" s="5"/>
      <c r="C1" s="5"/>
      <c r="D1" s="6"/>
      <c r="E1" s="6"/>
      <c r="F1" s="17"/>
      <c r="G1" s="17"/>
      <c r="H1" s="17"/>
      <c r="I1" s="17"/>
      <c r="J1" s="17"/>
      <c r="K1" s="17"/>
      <c r="L1" s="17"/>
      <c r="M1" s="17"/>
      <c r="N1" s="17"/>
      <c r="O1" s="28"/>
      <c r="P1" s="17"/>
      <c r="Q1" s="28"/>
      <c r="R1" s="28"/>
      <c r="S1" s="17"/>
      <c r="T1" s="17"/>
      <c r="U1" s="17"/>
      <c r="V1" s="17"/>
      <c r="W1" s="17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/>
      <c r="AJ1"/>
      <c r="AK1"/>
      <c r="AL1"/>
      <c r="AM1"/>
      <c r="AN1"/>
      <c r="AO1"/>
    </row>
    <row r="2" spans="1:41" s="13" customFormat="1" x14ac:dyDescent="0.25">
      <c r="A2" s="5"/>
      <c r="B2" s="5"/>
      <c r="C2" s="5"/>
      <c r="D2" s="6"/>
      <c r="E2" s="6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/>
      <c r="AJ2"/>
      <c r="AK2"/>
      <c r="AL2"/>
      <c r="AM2"/>
      <c r="AN2"/>
      <c r="AO2"/>
    </row>
    <row r="3" spans="1:41" s="50" customFormat="1" x14ac:dyDescent="0.25">
      <c r="A3" s="6">
        <v>1</v>
      </c>
      <c r="B3" s="6">
        <f>1+A3</f>
        <v>2</v>
      </c>
      <c r="C3" s="6">
        <f>1+B3</f>
        <v>3</v>
      </c>
      <c r="D3" s="6">
        <f>1+C3</f>
        <v>4</v>
      </c>
      <c r="E3" s="6">
        <f>1+D3</f>
        <v>5</v>
      </c>
      <c r="F3" s="47">
        <f t="shared" ref="F3:K3" si="0">+E3+1</f>
        <v>6</v>
      </c>
      <c r="G3" s="47">
        <f t="shared" si="0"/>
        <v>7</v>
      </c>
      <c r="H3" s="47">
        <f t="shared" si="0"/>
        <v>8</v>
      </c>
      <c r="I3" s="47">
        <f t="shared" si="0"/>
        <v>9</v>
      </c>
      <c r="J3" s="47">
        <f t="shared" si="0"/>
        <v>10</v>
      </c>
      <c r="K3" s="47">
        <f t="shared" si="0"/>
        <v>11</v>
      </c>
      <c r="L3" s="47"/>
      <c r="M3" s="47">
        <f>+K3+1</f>
        <v>12</v>
      </c>
      <c r="N3" s="47">
        <f t="shared" ref="N3" si="1">+M3+1</f>
        <v>13</v>
      </c>
      <c r="O3" s="47">
        <f t="shared" ref="O3" si="2">+N3+1</f>
        <v>14</v>
      </c>
      <c r="P3" s="47">
        <f t="shared" ref="P3" si="3">+O3+1</f>
        <v>15</v>
      </c>
      <c r="Q3" s="47">
        <f t="shared" ref="Q3" si="4">+P3+1</f>
        <v>16</v>
      </c>
      <c r="R3" s="47">
        <f t="shared" ref="R3" si="5">+Q3+1</f>
        <v>17</v>
      </c>
      <c r="S3" s="47">
        <f t="shared" ref="S3" si="6">+R3+1</f>
        <v>18</v>
      </c>
      <c r="T3" s="47">
        <f t="shared" ref="T3" si="7">+S3+1</f>
        <v>19</v>
      </c>
      <c r="U3" s="47">
        <f t="shared" ref="U3" si="8">+T3+1</f>
        <v>20</v>
      </c>
      <c r="V3" s="47">
        <f t="shared" ref="V3" si="9">+U3+1</f>
        <v>21</v>
      </c>
      <c r="W3" s="47">
        <f t="shared" ref="W3" si="10">+V3+1</f>
        <v>22</v>
      </c>
      <c r="X3" s="572">
        <f t="shared" ref="X3" si="11">+W3+1</f>
        <v>23</v>
      </c>
      <c r="Y3" s="572">
        <f t="shared" ref="Y3" si="12">+X3+1</f>
        <v>24</v>
      </c>
      <c r="Z3" s="572">
        <f t="shared" ref="Z3" si="13">+Y3+1</f>
        <v>25</v>
      </c>
      <c r="AA3" s="572">
        <f t="shared" ref="AA3" si="14">+Z3+1</f>
        <v>26</v>
      </c>
      <c r="AB3" s="572">
        <f t="shared" ref="AB3" si="15">+AA3+1</f>
        <v>27</v>
      </c>
      <c r="AC3" s="572">
        <f t="shared" ref="AC3" si="16">+AB3+1</f>
        <v>28</v>
      </c>
      <c r="AD3" s="572">
        <f t="shared" ref="AD3" si="17">+AC3+1</f>
        <v>29</v>
      </c>
      <c r="AE3" s="572">
        <f t="shared" ref="AE3" si="18">+AD3+1</f>
        <v>30</v>
      </c>
      <c r="AF3" s="572">
        <f t="shared" ref="AF3" si="19">+AE3+1</f>
        <v>31</v>
      </c>
      <c r="AG3" s="572">
        <f t="shared" ref="AG3" si="20">+AF3+1</f>
        <v>32</v>
      </c>
      <c r="AH3" s="572">
        <f t="shared" ref="AH3" si="21">+AG3+1</f>
        <v>33</v>
      </c>
      <c r="AI3"/>
      <c r="AJ3"/>
      <c r="AK3"/>
      <c r="AL3"/>
      <c r="AM3"/>
      <c r="AN3"/>
      <c r="AO3"/>
    </row>
    <row r="4" spans="1:41" s="13" customFormat="1" x14ac:dyDescent="0.25">
      <c r="A4" s="7"/>
      <c r="B4" s="8"/>
      <c r="C4" s="8"/>
      <c r="D4" s="8"/>
      <c r="E4" s="8"/>
      <c r="F4" s="18" t="s">
        <v>160</v>
      </c>
      <c r="G4" s="18"/>
      <c r="H4" s="18"/>
      <c r="I4" s="19"/>
      <c r="J4" s="19"/>
      <c r="K4" s="19"/>
      <c r="L4" s="19"/>
      <c r="M4" s="18" t="s">
        <v>165</v>
      </c>
      <c r="N4" s="18"/>
      <c r="O4" s="19"/>
      <c r="P4" s="29"/>
      <c r="Q4" s="19"/>
      <c r="R4" s="19"/>
      <c r="S4" s="19"/>
      <c r="T4" s="29"/>
      <c r="U4" s="19"/>
      <c r="V4" s="19"/>
      <c r="W4" s="19"/>
      <c r="X4" s="21" t="s">
        <v>160</v>
      </c>
      <c r="Y4" s="22"/>
      <c r="Z4" s="22"/>
      <c r="AA4" s="22"/>
      <c r="AB4" s="22"/>
      <c r="AC4" s="22"/>
      <c r="AD4" s="22"/>
      <c r="AE4" s="22"/>
      <c r="AF4" s="22"/>
      <c r="AG4" s="22"/>
      <c r="AH4" s="20"/>
      <c r="AI4"/>
      <c r="AJ4"/>
      <c r="AK4"/>
      <c r="AL4"/>
      <c r="AM4"/>
      <c r="AN4"/>
      <c r="AO4"/>
    </row>
    <row r="5" spans="1:41" s="13" customFormat="1" ht="49.5" customHeight="1" x14ac:dyDescent="0.25">
      <c r="A5" s="9" t="s">
        <v>151</v>
      </c>
      <c r="B5" s="10" t="s">
        <v>149</v>
      </c>
      <c r="C5" s="10" t="s">
        <v>1</v>
      </c>
      <c r="D5" s="9" t="s">
        <v>152</v>
      </c>
      <c r="E5" s="9" t="s">
        <v>153</v>
      </c>
      <c r="F5" s="15" t="s">
        <v>158</v>
      </c>
      <c r="G5" s="15" t="s">
        <v>197</v>
      </c>
      <c r="H5" s="15" t="s">
        <v>198</v>
      </c>
      <c r="I5" s="16" t="s">
        <v>161</v>
      </c>
      <c r="J5" s="16" t="s">
        <v>162</v>
      </c>
      <c r="K5" s="16" t="s">
        <v>208</v>
      </c>
      <c r="L5" s="16" t="s">
        <v>556</v>
      </c>
      <c r="M5" s="16" t="s">
        <v>164</v>
      </c>
      <c r="N5" s="15" t="s">
        <v>201</v>
      </c>
      <c r="O5" s="16" t="s">
        <v>168</v>
      </c>
      <c r="P5" s="16" t="s">
        <v>155</v>
      </c>
      <c r="Q5" s="16" t="s">
        <v>596</v>
      </c>
      <c r="R5" s="16" t="s">
        <v>166</v>
      </c>
      <c r="S5" s="16" t="s">
        <v>167</v>
      </c>
      <c r="T5" s="16" t="s">
        <v>537</v>
      </c>
      <c r="U5" s="16" t="s">
        <v>178</v>
      </c>
      <c r="V5" s="16" t="s">
        <v>180</v>
      </c>
      <c r="W5" s="16" t="s">
        <v>424</v>
      </c>
      <c r="X5" s="24" t="s">
        <v>169</v>
      </c>
      <c r="Y5" s="24" t="s">
        <v>599</v>
      </c>
      <c r="Z5" s="23" t="s">
        <v>170</v>
      </c>
      <c r="AA5" s="24" t="s">
        <v>171</v>
      </c>
      <c r="AB5" s="24" t="s">
        <v>177</v>
      </c>
      <c r="AC5" s="24" t="s">
        <v>538</v>
      </c>
      <c r="AD5" s="31" t="s">
        <v>172</v>
      </c>
      <c r="AE5" s="32" t="s">
        <v>173</v>
      </c>
      <c r="AF5" s="33" t="s">
        <v>176</v>
      </c>
      <c r="AG5" s="33" t="s">
        <v>209</v>
      </c>
      <c r="AH5" s="252" t="s">
        <v>424</v>
      </c>
      <c r="AI5"/>
      <c r="AJ5"/>
      <c r="AK5"/>
      <c r="AL5"/>
      <c r="AM5"/>
      <c r="AN5"/>
      <c r="AO5"/>
    </row>
    <row r="6" spans="1:41" x14ac:dyDescent="0.25">
      <c r="A6" s="5">
        <v>1</v>
      </c>
      <c r="B6" s="14" t="s">
        <v>215</v>
      </c>
      <c r="C6" s="14" t="str">
        <f>+'Retail Rates'!B7</f>
        <v>LGCMG865</v>
      </c>
      <c r="D6" s="6" t="str">
        <f t="shared" ref="D6:D18" si="22">MID(C6,6,3)</f>
        <v>865</v>
      </c>
      <c r="E6" s="6" t="str">
        <f>VLOOKUP(C6,'Retail Rates'!$B$7:$D$34,3,FALSE)</f>
        <v>AAGS-C</v>
      </c>
      <c r="F6" s="25">
        <f ca="1">SUMIF('Jul17-Jun18 Retail'!$E$7:$BJ$90,'12-MO Forecast Summary'!$C6,'Jul17-Jun18 Retail'!H$7:H$90)</f>
        <v>48</v>
      </c>
      <c r="G6" s="25">
        <f ca="1">SUMIF('Jul17-Jun18 Retail'!$E$7:$BJ$90,'12-MO Forecast Summary'!$C6,'Jul17-Jun18 Retail'!I$7:I$90)</f>
        <v>0</v>
      </c>
      <c r="H6" s="25">
        <f ca="1">SUMIF('Jul17-Jun18 Retail'!$E$7:$BJ$90,'12-MO Forecast Summary'!$C6,'Jul17-Jun18 Retail'!J$7:J$90)</f>
        <v>0</v>
      </c>
      <c r="I6" s="25">
        <f ca="1">SUMIF('Jul17-Jun18 Retail'!$E$7:$BJ$90,'12-MO Forecast Summary'!$C6,'Jul17-Jun18 Retail'!K$7:K$90)</f>
        <v>1284333.802244619</v>
      </c>
      <c r="J6" s="25">
        <f ca="1">SUMIF('Jul17-Jun18 Retail'!$E$7:$BJ$90,'12-MO Forecast Summary'!$C6,'Jul17-Jun18 Retail'!L$7:L$90)</f>
        <v>0</v>
      </c>
      <c r="K6" s="25">
        <f ca="1">SUMIF('Jul17-Jun18 Retail'!$E$7:$BJ$90,'12-MO Forecast Summary'!$C6,'Jul17-Jun18 Retail'!M$7:M$90)</f>
        <v>0</v>
      </c>
      <c r="L6" s="25"/>
      <c r="M6" s="573">
        <f ca="1">SUMIF('Jul17-Jun18 Retail'!$E$7:$BJ$90,'12-MO Forecast Summary'!$C6,'Jul17-Jun18 Retail'!AP$7:AP$90)</f>
        <v>19200</v>
      </c>
      <c r="N6" s="573"/>
      <c r="O6" s="573">
        <f ca="1">SUMIF('Jul17-Jun18 Retail'!$E$7:$BJ$90,'12-MO Forecast Summary'!$C6,'Jul17-Jun18 Retail'!AQ$7:AQ$90)</f>
        <v>0</v>
      </c>
      <c r="P6" s="573"/>
      <c r="Q6" s="573">
        <f ca="1">SUMIF('Jul17-Jun18 Retail'!$E$7:$BJ$90,'12-MO Forecast Summary'!$C6,'Jul17-Jun18 Retail'!AX$7:AX$90)</f>
        <v>0</v>
      </c>
      <c r="R6" s="573">
        <f ca="1">SUMIF('Jul17-Jun18 Retail'!$E$7:$BJ$90,'12-MO Forecast Summary'!$C6,'Jul17-Jun18 Retail'!AR$7:AR$90)</f>
        <v>90018.956199325359</v>
      </c>
      <c r="S6" s="573">
        <f ca="1">SUMIF('Jul17-Jun18 Retail'!$E$7:$BJ$90,'12-MO Forecast Summary'!$C6,'Jul17-Jun18 Retail'!AS$7:AS$90)</f>
        <v>0</v>
      </c>
      <c r="T6" s="573"/>
      <c r="U6" s="573">
        <f ca="1">SUMIF('Jul17-Jun18 Retail'!$E$7:$BJ$90,'12-MO Forecast Summary'!$C6,'Jul17-Jun18 Retail'!AT$7:AT$90)</f>
        <v>504944.4958231686</v>
      </c>
      <c r="V6" s="573">
        <f ca="1">SUMIF('Jul17-Jun18 Retail'!$E$7:$BJ$90,'12-MO Forecast Summary'!$C6,'Jul17-Jun18 Retail'!AU$7:AU$90)</f>
        <v>10394.581739040445</v>
      </c>
      <c r="W6" s="573">
        <f ca="1">SUMIF('Jul17-Jun18 Retail'!$E$7:$BJ$90,'12-MO Forecast Summary'!$C6,'Jul17-Jun18 Retail'!AW$7:AW$90)</f>
        <v>194074.40589668055</v>
      </c>
      <c r="X6" s="35">
        <f ca="1">SUMIF('Jul17-Jun18 Retail'!$E$7:$BJ$90,'12-MO Forecast Summary'!$C6,'Jul17-Jun18 Retail'!AZ$7:AZ$90)</f>
        <v>818632.44</v>
      </c>
      <c r="Y6" s="35">
        <f ca="1">SUMIF('Jul17-Jun18 Retail'!$E$7:$BJ$90,'12-MO Forecast Summary'!$C6,'Jul17-Jun18 Retail'!BA$7:BA$90)</f>
        <v>818632.43965543795</v>
      </c>
      <c r="Z6" s="36">
        <f t="shared" ref="Z6:Z18" ca="1" si="23">IF(Y6=0,0,ROUND(Y6/X6,6))</f>
        <v>1</v>
      </c>
      <c r="AA6" s="35">
        <f ca="1">SUMIF('Jul17-Jun18 Retail'!$E$7:$BJ$90,'12-MO Forecast Summary'!$C6,'Jul17-Jun18 Retail'!BC$7:BC$90)</f>
        <v>10394.581739040445</v>
      </c>
      <c r="AB6" s="35">
        <f ca="1">SUMIF('Jul17-Jun18 Retail'!$E$7:$BJ$90,'12-MO Forecast Summary'!$C6,'Jul17-Jun18 Retail'!BD$7:BD$90)</f>
        <v>504944.4958231686</v>
      </c>
      <c r="AC6" s="35"/>
      <c r="AD6" s="35">
        <f ca="1">SUMIF('Jul17-Jun18 Retail'!$E$7:$BJ$90,'12-MO Forecast Summary'!$C6,'Jul17-Jun18 Retail'!BF$7:BF$90)</f>
        <v>0</v>
      </c>
      <c r="AE6" s="35">
        <f ca="1">SUMIF('Jul17-Jun18 Retail'!$E$7:$BJ$90,'12-MO Forecast Summary'!$C6,'Jul17-Jun18 Retail'!BG$7:BG$90)</f>
        <v>19200</v>
      </c>
      <c r="AF6" s="35">
        <f ca="1">SUMIF('Jul17-Jun18 Retail'!$E$7:$BJ$90,'12-MO Forecast Summary'!$C6,'Jul17-Jun18 Retail'!BH$7:BH$90)</f>
        <v>90018.956196548359</v>
      </c>
      <c r="AG6" s="35">
        <f ca="1">SUMIF('Jul17-Jun18 Retail'!$E$7:$BJ$90,'12-MO Forecast Summary'!$C6,'Jul17-Jun18 Retail'!BI$7:BI$90)</f>
        <v>0</v>
      </c>
      <c r="AH6" s="35">
        <f ca="1">SUMIF('Jul17-Jun18 Retail'!$E$7:$BJ$90,'12-MO Forecast Summary'!$C6,'Jul17-Jun18 Retail'!BJ$7:BJ$90)</f>
        <v>194074.40589668055</v>
      </c>
    </row>
    <row r="7" spans="1:41" x14ac:dyDescent="0.25">
      <c r="A7" s="5">
        <f>+A6+1</f>
        <v>2</v>
      </c>
      <c r="B7" s="14" t="s">
        <v>215</v>
      </c>
      <c r="C7" s="14" t="str">
        <f>+'Retail Rates'!B10</f>
        <v>LGING866</v>
      </c>
      <c r="D7" s="6" t="str">
        <f t="shared" si="22"/>
        <v>866</v>
      </c>
      <c r="E7" s="6" t="str">
        <f>VLOOKUP(C7,'Retail Rates'!$B$7:$D$34,3,FALSE)</f>
        <v>AAGS-I</v>
      </c>
      <c r="F7" s="25">
        <f ca="1">SUMIF('Jul17-Jun18 Retail'!$E$7:$BJ$90,'12-MO Forecast Summary'!$C7,'Jul17-Jun18 Retail'!H$7:H$90)</f>
        <v>0</v>
      </c>
      <c r="G7" s="25">
        <f ca="1">SUMIF('Jul17-Jun18 Retail'!$E$7:$BJ$90,'12-MO Forecast Summary'!$C7,'Jul17-Jun18 Retail'!I$7:I$90)</f>
        <v>0</v>
      </c>
      <c r="H7" s="25">
        <f ca="1">SUMIF('Jul17-Jun18 Retail'!$E$7:$BJ$90,'12-MO Forecast Summary'!$C7,'Jul17-Jun18 Retail'!J$7:J$90)</f>
        <v>0</v>
      </c>
      <c r="I7" s="25">
        <f ca="1">SUMIF('Jul17-Jun18 Retail'!$E$7:$BJ$90,'12-MO Forecast Summary'!$C7,'Jul17-Jun18 Retail'!K$7:K$90)</f>
        <v>0</v>
      </c>
      <c r="J7" s="25">
        <f ca="1">SUMIF('Jul17-Jun18 Retail'!$E$7:$BJ$90,'12-MO Forecast Summary'!$C7,'Jul17-Jun18 Retail'!L$7:L$90)</f>
        <v>0</v>
      </c>
      <c r="K7" s="25">
        <f ca="1">SUMIF('Jul17-Jun18 Retail'!$E$7:$BJ$90,'12-MO Forecast Summary'!$C7,'Jul17-Jun18 Retail'!M$7:M$90)</f>
        <v>0</v>
      </c>
      <c r="L7" s="25"/>
      <c r="M7" s="573">
        <f ca="1">SUMIF('Jul17-Jun18 Retail'!$E$7:$BJ$90,'12-MO Forecast Summary'!$C7,'Jul17-Jun18 Retail'!AP$7:AP$90)</f>
        <v>0</v>
      </c>
      <c r="N7" s="573"/>
      <c r="O7" s="573">
        <f ca="1">SUMIF('Jul17-Jun18 Retail'!$E$7:$BJ$90,'12-MO Forecast Summary'!$C7,'Jul17-Jun18 Retail'!AQ$7:AQ$90)</f>
        <v>0</v>
      </c>
      <c r="P7" s="573"/>
      <c r="Q7" s="573">
        <f ca="1">SUMIF('Jul17-Jun18 Retail'!$E$7:$BJ$90,'12-MO Forecast Summary'!$C7,'Jul17-Jun18 Retail'!AX$7:AX$90)</f>
        <v>0</v>
      </c>
      <c r="R7" s="573">
        <f ca="1">SUMIF('Jul17-Jun18 Retail'!$E$7:$BJ$90,'12-MO Forecast Summary'!$C7,'Jul17-Jun18 Retail'!AR$7:AR$90)</f>
        <v>0</v>
      </c>
      <c r="S7" s="573">
        <f ca="1">SUMIF('Jul17-Jun18 Retail'!$E$7:$BJ$90,'12-MO Forecast Summary'!$C7,'Jul17-Jun18 Retail'!AS$7:AS$90)</f>
        <v>0</v>
      </c>
      <c r="T7" s="573"/>
      <c r="U7" s="573">
        <f ca="1">SUMIF('Jul17-Jun18 Retail'!$E$7:$BJ$90,'12-MO Forecast Summary'!$C7,'Jul17-Jun18 Retail'!AT$7:AT$90)</f>
        <v>0</v>
      </c>
      <c r="V7" s="573">
        <f ca="1">SUMIF('Jul17-Jun18 Retail'!$E$7:$BJ$90,'12-MO Forecast Summary'!$C7,'Jul17-Jun18 Retail'!AU$7:AU$90)</f>
        <v>0</v>
      </c>
      <c r="W7" s="573">
        <f ca="1">SUMIF('Jul17-Jun18 Retail'!$E$7:$BJ$90,'12-MO Forecast Summary'!$C7,'Jul17-Jun18 Retail'!AW$7:AW$90)</f>
        <v>0</v>
      </c>
      <c r="X7" s="35">
        <f ca="1">SUMIF('Jul17-Jun18 Retail'!$E$7:$BJ$90,'12-MO Forecast Summary'!$C7,'Jul17-Jun18 Retail'!AZ$7:AZ$90)</f>
        <v>0</v>
      </c>
      <c r="Y7" s="35">
        <f ca="1">SUMIF('Jul17-Jun18 Retail'!$E$7:$BJ$90,'12-MO Forecast Summary'!$C7,'Jul17-Jun18 Retail'!BA$7:BA$90)</f>
        <v>0</v>
      </c>
      <c r="Z7" s="36">
        <f t="shared" ca="1" si="23"/>
        <v>0</v>
      </c>
      <c r="AA7" s="35">
        <f ca="1">SUMIF('Jul17-Jun18 Retail'!$E$7:$BJ$90,'12-MO Forecast Summary'!$C7,'Jul17-Jun18 Retail'!BC$7:BC$90)</f>
        <v>0</v>
      </c>
      <c r="AB7" s="35">
        <f ca="1">SUMIF('Jul17-Jun18 Retail'!$E$7:$BJ$90,'12-MO Forecast Summary'!$C7,'Jul17-Jun18 Retail'!BD$7:BD$90)</f>
        <v>0</v>
      </c>
      <c r="AC7" s="35"/>
      <c r="AD7" s="35">
        <f ca="1">SUMIF('Jul17-Jun18 Retail'!$E$7:$BJ$90,'12-MO Forecast Summary'!$C7,'Jul17-Jun18 Retail'!BF$7:BF$90)</f>
        <v>0</v>
      </c>
      <c r="AE7" s="35">
        <f ca="1">SUMIF('Jul17-Jun18 Retail'!$E$7:$BJ$90,'12-MO Forecast Summary'!$C7,'Jul17-Jun18 Retail'!BG$7:BG$90)</f>
        <v>0</v>
      </c>
      <c r="AF7" s="35">
        <f ca="1">SUMIF('Jul17-Jun18 Retail'!$E$7:$BJ$90,'12-MO Forecast Summary'!$C7,'Jul17-Jun18 Retail'!BH$7:BH$90)</f>
        <v>0</v>
      </c>
      <c r="AG7" s="35">
        <f ca="1">SUMIF('Jul17-Jun18 Retail'!$E$7:$BJ$90,'12-MO Forecast Summary'!$C7,'Jul17-Jun18 Retail'!BI$7:BI$90)</f>
        <v>0</v>
      </c>
      <c r="AH7" s="35">
        <f ca="1">SUMIF('Jul17-Jun18 Retail'!$E$7:$BJ$90,'12-MO Forecast Summary'!$C7,'Jul17-Jun18 Retail'!BJ$7:BJ$90)</f>
        <v>0</v>
      </c>
    </row>
    <row r="8" spans="1:41" x14ac:dyDescent="0.25">
      <c r="A8" s="5">
        <f t="shared" ref="A8:A16" si="24">+A7+1</f>
        <v>3</v>
      </c>
      <c r="B8" s="14" t="s">
        <v>215</v>
      </c>
      <c r="C8" s="14" t="str">
        <f>+'Retail Rates'!B15</f>
        <v>LGCMG851</v>
      </c>
      <c r="D8" s="6" t="str">
        <f t="shared" si="22"/>
        <v>851</v>
      </c>
      <c r="E8" s="6" t="str">
        <f>VLOOKUP(C8,'Retail Rates'!$B$7:$D$34,3,FALSE)</f>
        <v>CGS</v>
      </c>
      <c r="F8" s="25">
        <f ca="1">SUMIF('Jul17-Jun18 Retail'!$E$7:$BJ$90,'12-MO Forecast Summary'!$C8,'Jul17-Jun18 Retail'!H$7:H$90)</f>
        <v>0</v>
      </c>
      <c r="G8" s="25">
        <f ca="1">SUMIF('Jul17-Jun18 Retail'!$E$7:$BJ$90,'12-MO Forecast Summary'!$C8,'Jul17-Jun18 Retail'!I$7:I$90)</f>
        <v>287391</v>
      </c>
      <c r="H8" s="25">
        <f ca="1">SUMIF('Jul17-Jun18 Retail'!$E$7:$BJ$90,'12-MO Forecast Summary'!$C8,'Jul17-Jun18 Retail'!J$7:J$90)</f>
        <v>11969</v>
      </c>
      <c r="I8" s="25">
        <f ca="1">SUMIF('Jul17-Jun18 Retail'!$E$7:$BJ$90,'12-MO Forecast Summary'!$C8,'Jul17-Jun18 Retail'!K$7:K$90)</f>
        <v>100335528.6589631</v>
      </c>
      <c r="J8" s="25">
        <f ca="1">SUMIF('Jul17-Jun18 Retail'!$E$7:$BJ$90,'12-MO Forecast Summary'!$C8,'Jul17-Jun18 Retail'!L$7:L$90)</f>
        <v>1043529.6018885882</v>
      </c>
      <c r="K8" s="25">
        <f ca="1">SUMIF('Jul17-Jun18 Retail'!$E$7:$BJ$90,'12-MO Forecast Summary'!$C8,'Jul17-Jun18 Retail'!M$7:M$90)</f>
        <v>0</v>
      </c>
      <c r="L8" s="25"/>
      <c r="M8" s="573">
        <f ca="1">SUMIF('Jul17-Jun18 Retail'!$E$7:$BJ$90,'12-MO Forecast Summary'!$C8,'Jul17-Jun18 Retail'!AP$7:AP$90)</f>
        <v>11495640</v>
      </c>
      <c r="N8" s="573"/>
      <c r="O8" s="573">
        <f ca="1">SUMIF('Jul17-Jun18 Retail'!$E$7:$BJ$90,'12-MO Forecast Summary'!$C8,'Jul17-Jun18 Retail'!AQ$7:AQ$90)</f>
        <v>2154420</v>
      </c>
      <c r="P8" s="573"/>
      <c r="Q8" s="573">
        <f ca="1">SUMIF('Jul17-Jun18 Retail'!$E$7:$BJ$90,'12-MO Forecast Summary'!$C8,'Jul17-Jun18 Retail'!AX$7:AX$90)</f>
        <v>0</v>
      </c>
      <c r="R8" s="573">
        <f ca="1">SUMIF('Jul17-Jun18 Retail'!$E$7:$BJ$90,'12-MO Forecast Summary'!$C8,'Jul17-Jun18 Retail'!AR$7:AR$90)</f>
        <v>21576152.082823426</v>
      </c>
      <c r="S8" s="573">
        <f ca="1">SUMIF('Jul17-Jun18 Retail'!$E$7:$BJ$90,'12-MO Forecast Summary'!$C8,'Jul17-Jun18 Retail'!AS$7:AS$90)</f>
        <v>172224.12549569263</v>
      </c>
      <c r="T8" s="573"/>
      <c r="U8" s="573">
        <f ca="1">SUMIF('Jul17-Jun18 Retail'!$E$7:$BJ$90,'12-MO Forecast Summary'!$C8,'Jul17-Jun18 Retail'!AT$7:AT$90)</f>
        <v>43709321.934499532</v>
      </c>
      <c r="V8" s="573">
        <f ca="1">SUMIF('Jul17-Jun18 Retail'!$E$7:$BJ$90,'12-MO Forecast Summary'!$C8,'Jul17-Jun18 Retail'!AU$7:AU$90)</f>
        <v>1178167.8742125058</v>
      </c>
      <c r="W8" s="573">
        <f ca="1">SUMIF('Jul17-Jun18 Retail'!$E$7:$BJ$90,'12-MO Forecast Summary'!$C8,'Jul17-Jun18 Retail'!AW$7:AW$90)</f>
        <v>9961054.7127250377</v>
      </c>
      <c r="X8" s="35">
        <f ca="1">SUMIF('Jul17-Jun18 Retail'!$E$7:$BJ$90,'12-MO Forecast Summary'!$C8,'Jul17-Jun18 Retail'!AZ$7:AZ$90)</f>
        <v>90246980.739999995</v>
      </c>
      <c r="Y8" s="35">
        <f ca="1">SUMIF('Jul17-Jun18 Retail'!$E$7:$BJ$90,'12-MO Forecast Summary'!$C8,'Jul17-Jun18 Retail'!BA$7:BA$90)</f>
        <v>90246980.728040725</v>
      </c>
      <c r="Z8" s="36">
        <f t="shared" ca="1" si="23"/>
        <v>1</v>
      </c>
      <c r="AA8" s="35">
        <f ca="1">SUMIF('Jul17-Jun18 Retail'!$E$7:$BJ$90,'12-MO Forecast Summary'!$C8,'Jul17-Jun18 Retail'!BC$7:BC$90)</f>
        <v>1178167.8742125058</v>
      </c>
      <c r="AB8" s="35">
        <f ca="1">SUMIF('Jul17-Jun18 Retail'!$E$7:$BJ$90,'12-MO Forecast Summary'!$C8,'Jul17-Jun18 Retail'!BD$7:BD$90)</f>
        <v>43709321.934499532</v>
      </c>
      <c r="AC8" s="35"/>
      <c r="AD8" s="35">
        <f ca="1">SUMIF('Jul17-Jun18 Retail'!$E$7:$BJ$90,'12-MO Forecast Summary'!$C8,'Jul17-Jun18 Retail'!BF$7:BF$90)</f>
        <v>0</v>
      </c>
      <c r="AE8" s="35">
        <f ca="1">SUMIF('Jul17-Jun18 Retail'!$E$7:$BJ$90,'12-MO Forecast Summary'!$C8,'Jul17-Jun18 Retail'!BG$7:BG$90)</f>
        <v>13650060</v>
      </c>
      <c r="AF8" s="35">
        <f ca="1">SUMIF('Jul17-Jun18 Retail'!$E$7:$BJ$90,'12-MO Forecast Summary'!$C8,'Jul17-Jun18 Retail'!BH$7:BH$90)</f>
        <v>21748376.20660365</v>
      </c>
      <c r="AG8" s="35">
        <f ca="1">SUMIF('Jul17-Jun18 Retail'!$E$7:$BJ$90,'12-MO Forecast Summary'!$C8,'Jul17-Jun18 Retail'!BI$7:BI$90)</f>
        <v>0</v>
      </c>
      <c r="AH8" s="35">
        <f ca="1">SUMIF('Jul17-Jun18 Retail'!$E$7:$BJ$90,'12-MO Forecast Summary'!$C8,'Jul17-Jun18 Retail'!BJ$7:BJ$90)</f>
        <v>9961054.7127250377</v>
      </c>
    </row>
    <row r="9" spans="1:41" x14ac:dyDescent="0.25">
      <c r="A9" s="5">
        <f t="shared" si="24"/>
        <v>4</v>
      </c>
      <c r="B9" s="14" t="s">
        <v>215</v>
      </c>
      <c r="C9" s="14" t="str">
        <f>+'Retail Rates'!B20</f>
        <v>LGCMG875</v>
      </c>
      <c r="D9" s="6" t="str">
        <f t="shared" si="22"/>
        <v>875</v>
      </c>
      <c r="E9" s="6" t="str">
        <f>VLOOKUP(C9,'Retail Rates'!$B$7:$D$34,3,FALSE)</f>
        <v>DGGS-C</v>
      </c>
      <c r="F9" s="25">
        <f ca="1">SUMIF('Jul17-Jun18 Retail'!$E$7:$BJ$90,'12-MO Forecast Summary'!$C9,'Jul17-Jun18 Retail'!H$7:H$90)</f>
        <v>12</v>
      </c>
      <c r="G9" s="25">
        <f ca="1">SUMIF('Jul17-Jun18 Retail'!$E$7:$BJ$90,'12-MO Forecast Summary'!$C9,'Jul17-Jun18 Retail'!I$7:I$90)</f>
        <v>0</v>
      </c>
      <c r="H9" s="25">
        <f ca="1">SUMIF('Jul17-Jun18 Retail'!$E$7:$BJ$90,'12-MO Forecast Summary'!$C9,'Jul17-Jun18 Retail'!J$7:J$90)</f>
        <v>0</v>
      </c>
      <c r="I9" s="25">
        <f ca="1">SUMIF('Jul17-Jun18 Retail'!$E$7:$BJ$90,'12-MO Forecast Summary'!$C9,'Jul17-Jun18 Retail'!K$7:K$90)</f>
        <v>72</v>
      </c>
      <c r="J9" s="25">
        <f ca="1">SUMIF('Jul17-Jun18 Retail'!$E$7:$BJ$90,'12-MO Forecast Summary'!$C9,'Jul17-Jun18 Retail'!L$7:L$90)</f>
        <v>0</v>
      </c>
      <c r="K9" s="25">
        <f ca="1">SUMIF('Jul17-Jun18 Retail'!$E$7:$BJ$90,'12-MO Forecast Summary'!$C9,'Jul17-Jun18 Retail'!M$7:M$90)</f>
        <v>5796</v>
      </c>
      <c r="L9" s="25"/>
      <c r="M9" s="573">
        <f ca="1">SUMIF('Jul17-Jun18 Retail'!$E$7:$BJ$90,'12-MO Forecast Summary'!$C9,'Jul17-Jun18 Retail'!AP$7:AP$90)</f>
        <v>480</v>
      </c>
      <c r="N9" s="573"/>
      <c r="O9" s="573">
        <f ca="1">SUMIF('Jul17-Jun18 Retail'!$E$7:$BJ$90,'12-MO Forecast Summary'!$C9,'Jul17-Jun18 Retail'!AQ$7:AQ$90)</f>
        <v>0</v>
      </c>
      <c r="P9" s="573"/>
      <c r="Q9" s="573">
        <f ca="1">SUMIF('Jul17-Jun18 Retail'!$E$7:$BJ$90,'12-MO Forecast Summary'!$C9,'Jul17-Jun18 Retail'!AX$7:AX$90)</f>
        <v>6528.0348000000022</v>
      </c>
      <c r="R9" s="573">
        <f ca="1">SUMIF('Jul17-Jun18 Retail'!$E$7:$BJ$90,'12-MO Forecast Summary'!$C9,'Jul17-Jun18 Retail'!AR$7:AR$90)</f>
        <v>2.3968799999999999</v>
      </c>
      <c r="S9" s="573">
        <f ca="1">SUMIF('Jul17-Jun18 Retail'!$E$7:$BJ$90,'12-MO Forecast Summary'!$C9,'Jul17-Jun18 Retail'!AS$7:AS$90)</f>
        <v>0</v>
      </c>
      <c r="T9" s="573"/>
      <c r="U9" s="573">
        <f ca="1">SUMIF('Jul17-Jun18 Retail'!$E$7:$BJ$90,'12-MO Forecast Summary'!$C9,'Jul17-Jun18 Retail'!AT$7:AT$90)</f>
        <v>29.58996422013707</v>
      </c>
      <c r="V9" s="573">
        <f ca="1">SUMIF('Jul17-Jun18 Retail'!$E$7:$BJ$90,'12-MO Forecast Summary'!$C9,'Jul17-Jun18 Retail'!AU$7:AU$90)</f>
        <v>1.3341336732703244</v>
      </c>
      <c r="W9" s="573">
        <f ca="1">SUMIF('Jul17-Jun18 Retail'!$E$7:$BJ$90,'12-MO Forecast Summary'!$C9,'Jul17-Jun18 Retail'!AW$7:AW$90)</f>
        <v>0</v>
      </c>
      <c r="X9" s="35">
        <f ca="1">SUMIF('Jul17-Jun18 Retail'!$E$7:$BJ$90,'12-MO Forecast Summary'!$C9,'Jul17-Jun18 Retail'!AZ$7:AZ$90)</f>
        <v>7041.35</v>
      </c>
      <c r="Y9" s="35">
        <f ca="1">SUMIF('Jul17-Jun18 Retail'!$E$7:$BJ$90,'12-MO Forecast Summary'!$C9,'Jul17-Jun18 Retail'!BA$7:BA$90)</f>
        <v>7041.3557778934073</v>
      </c>
      <c r="Z9" s="36">
        <f t="shared" ca="1" si="23"/>
        <v>1.0000009999999999</v>
      </c>
      <c r="AA9" s="35">
        <f ca="1">SUMIF('Jul17-Jun18 Retail'!$E$7:$BJ$90,'12-MO Forecast Summary'!$C9,'Jul17-Jun18 Retail'!BC$7:BC$90)</f>
        <v>1.3341336732703244</v>
      </c>
      <c r="AB9" s="35">
        <f ca="1">SUMIF('Jul17-Jun18 Retail'!$E$7:$BJ$90,'12-MO Forecast Summary'!$C9,'Jul17-Jun18 Retail'!BD$7:BD$90)</f>
        <v>29.58996422013707</v>
      </c>
      <c r="AC9" s="35"/>
      <c r="AD9" s="35">
        <f ca="1">SUMIF('Jul17-Jun18 Retail'!$E$7:$BJ$90,'12-MO Forecast Summary'!$C9,'Jul17-Jun18 Retail'!BF$7:BF$90)</f>
        <v>0</v>
      </c>
      <c r="AE9" s="35">
        <f ca="1">SUMIF('Jul17-Jun18 Retail'!$E$7:$BJ$90,'12-MO Forecast Summary'!$C9,'Jul17-Jun18 Retail'!BG$7:BG$90)</f>
        <v>480</v>
      </c>
      <c r="AF9" s="35">
        <f ca="1">SUMIF('Jul17-Jun18 Retail'!$E$7:$BJ$90,'12-MO Forecast Summary'!$C9,'Jul17-Jun18 Retail'!BH$7:BH$90)</f>
        <v>2.3968799999999875</v>
      </c>
      <c r="AG9" s="35">
        <f ca="1">SUMIF('Jul17-Jun18 Retail'!$E$7:$BJ$90,'12-MO Forecast Summary'!$C9,'Jul17-Jun18 Retail'!BI$7:BI$90)</f>
        <v>6528.0347999999976</v>
      </c>
      <c r="AH9" s="35">
        <f ca="1">SUMIF('Jul17-Jun18 Retail'!$E$7:$BJ$90,'12-MO Forecast Summary'!$C9,'Jul17-Jun18 Retail'!BJ$7:BJ$90)</f>
        <v>0</v>
      </c>
    </row>
    <row r="10" spans="1:41" x14ac:dyDescent="0.25">
      <c r="A10" s="5">
        <f t="shared" si="24"/>
        <v>5</v>
      </c>
      <c r="B10" s="14" t="s">
        <v>215</v>
      </c>
      <c r="C10" s="14" t="str">
        <f>+'Retail Rates'!B26</f>
        <v>LGING855</v>
      </c>
      <c r="D10" s="6" t="str">
        <f t="shared" si="22"/>
        <v>855</v>
      </c>
      <c r="E10" s="6" t="s">
        <v>111</v>
      </c>
      <c r="F10" s="25">
        <f ca="1">SUMIF('Jul17-Jun18 Retail'!$E$7:$BJ$90,'12-MO Forecast Summary'!$C10,'Jul17-Jun18 Retail'!H$7:H$90)</f>
        <v>0</v>
      </c>
      <c r="G10" s="25">
        <f ca="1">SUMIF('Jul17-Jun18 Retail'!$E$7:$BJ$90,'12-MO Forecast Summary'!$C10,'Jul17-Jun18 Retail'!I$7:I$90)</f>
        <v>1761</v>
      </c>
      <c r="H10" s="25">
        <f ca="1">SUMIF('Jul17-Jun18 Retail'!$E$7:$BJ$90,'12-MO Forecast Summary'!$C10,'Jul17-Jun18 Retail'!J$7:J$90)</f>
        <v>1377</v>
      </c>
      <c r="I10" s="25">
        <f ca="1">SUMIF('Jul17-Jun18 Retail'!$E$7:$BJ$90,'12-MO Forecast Summary'!$C10,'Jul17-Jun18 Retail'!K$7:K$90)</f>
        <v>13109412.880011568</v>
      </c>
      <c r="J10" s="25">
        <f ca="1">SUMIF('Jul17-Jun18 Retail'!$E$7:$BJ$90,'12-MO Forecast Summary'!$C10,'Jul17-Jun18 Retail'!L$7:L$90)</f>
        <v>1778648.2009647796</v>
      </c>
      <c r="K10" s="25">
        <f ca="1">SUMIF('Jul17-Jun18 Retail'!$E$7:$BJ$90,'12-MO Forecast Summary'!$C10,'Jul17-Jun18 Retail'!M$7:M$90)</f>
        <v>0</v>
      </c>
      <c r="L10" s="25"/>
      <c r="M10" s="573">
        <f ca="1">SUMIF('Jul17-Jun18 Retail'!$E$7:$BJ$90,'12-MO Forecast Summary'!$C10,'Jul17-Jun18 Retail'!AP$7:AP$90)</f>
        <v>70440</v>
      </c>
      <c r="N10" s="573"/>
      <c r="O10" s="573">
        <f ca="1">SUMIF('Jul17-Jun18 Retail'!$E$7:$BJ$90,'12-MO Forecast Summary'!$C10,'Jul17-Jun18 Retail'!AQ$7:AQ$90)</f>
        <v>247860</v>
      </c>
      <c r="P10" s="573"/>
      <c r="Q10" s="573">
        <f ca="1">SUMIF('Jul17-Jun18 Retail'!$E$7:$BJ$90,'12-MO Forecast Summary'!$C10,'Jul17-Jun18 Retail'!AX$7:AX$90)</f>
        <v>0</v>
      </c>
      <c r="R10" s="573">
        <f ca="1">SUMIF('Jul17-Jun18 Retail'!$E$7:$BJ$90,'12-MO Forecast Summary'!$C10,'Jul17-Jun18 Retail'!AR$7:AR$90)</f>
        <v>2986193.1599378348</v>
      </c>
      <c r="S10" s="573">
        <f ca="1">SUMIF('Jul17-Jun18 Retail'!$E$7:$BJ$90,'12-MO Forecast Summary'!$C10,'Jul17-Jun18 Retail'!AS$7:AS$90)</f>
        <v>316225.86364952818</v>
      </c>
      <c r="T10" s="573"/>
      <c r="U10" s="573">
        <f ca="1">SUMIF('Jul17-Jun18 Retail'!$E$7:$BJ$90,'12-MO Forecast Summary'!$C10,'Jul17-Jun18 Retail'!AT$7:AT$90)</f>
        <v>6139166.1253399272</v>
      </c>
      <c r="V10" s="573">
        <f ca="1">SUMIF('Jul17-Jun18 Retail'!$E$7:$BJ$90,'12-MO Forecast Summary'!$C10,'Jul17-Jun18 Retail'!AU$7:AU$90)</f>
        <v>0</v>
      </c>
      <c r="W10" s="573">
        <f ca="1">SUMIF('Jul17-Jun18 Retail'!$E$7:$BJ$90,'12-MO Forecast Summary'!$C10,'Jul17-Jun18 Retail'!AW$7:AW$90)</f>
        <v>905992.209367592</v>
      </c>
      <c r="X10" s="35">
        <f ca="1">SUMIF('Jul17-Jun18 Retail'!$E$7:$BJ$90,'12-MO Forecast Summary'!$C10,'Jul17-Jun18 Retail'!AZ$7:AZ$90)</f>
        <v>10665877.359999999</v>
      </c>
      <c r="Y10" s="35">
        <f ca="1">SUMIF('Jul17-Jun18 Retail'!$E$7:$BJ$90,'12-MO Forecast Summary'!$C10,'Jul17-Jun18 Retail'!BA$7:BA$90)</f>
        <v>10665877.358477123</v>
      </c>
      <c r="Z10" s="36">
        <f t="shared" ca="1" si="23"/>
        <v>1</v>
      </c>
      <c r="AA10" s="35">
        <f ca="1">SUMIF('Jul17-Jun18 Retail'!$E$7:$BJ$90,'12-MO Forecast Summary'!$C10,'Jul17-Jun18 Retail'!BC$7:BC$90)</f>
        <v>0</v>
      </c>
      <c r="AB10" s="35">
        <f ca="1">SUMIF('Jul17-Jun18 Retail'!$E$7:$BJ$90,'12-MO Forecast Summary'!$C10,'Jul17-Jun18 Retail'!BD$7:BD$90)</f>
        <v>6139166.1253399272</v>
      </c>
      <c r="AC10" s="35"/>
      <c r="AD10" s="35">
        <f ca="1">SUMIF('Jul17-Jun18 Retail'!$E$7:$BJ$90,'12-MO Forecast Summary'!$C10,'Jul17-Jun18 Retail'!BF$7:BF$90)</f>
        <v>0</v>
      </c>
      <c r="AE10" s="35">
        <f ca="1">SUMIF('Jul17-Jun18 Retail'!$E$7:$BJ$90,'12-MO Forecast Summary'!$C10,'Jul17-Jun18 Retail'!BG$7:BG$90)</f>
        <v>318300</v>
      </c>
      <c r="AF10" s="35">
        <f ca="1">SUMIF('Jul17-Jun18 Retail'!$E$7:$BJ$90,'12-MO Forecast Summary'!$C10,'Jul17-Jun18 Retail'!BH$7:BH$90)</f>
        <v>3302419.0237696045</v>
      </c>
      <c r="AG10" s="35">
        <f ca="1">SUMIF('Jul17-Jun18 Retail'!$E$7:$BJ$90,'12-MO Forecast Summary'!$C10,'Jul17-Jun18 Retail'!BI$7:BI$90)</f>
        <v>0</v>
      </c>
      <c r="AH10" s="35">
        <f ca="1">SUMIF('Jul17-Jun18 Retail'!$E$7:$BJ$90,'12-MO Forecast Summary'!$C10,'Jul17-Jun18 Retail'!BJ$7:BJ$90)</f>
        <v>905992.209367592</v>
      </c>
    </row>
    <row r="11" spans="1:41" x14ac:dyDescent="0.25">
      <c r="A11" s="5">
        <f t="shared" si="24"/>
        <v>6</v>
      </c>
      <c r="B11" s="14" t="s">
        <v>215</v>
      </c>
      <c r="C11" s="14" t="str">
        <f>+'Retail Rates'!B31</f>
        <v>LGRSG811</v>
      </c>
      <c r="D11" s="6" t="str">
        <f t="shared" si="22"/>
        <v>811</v>
      </c>
      <c r="E11" s="6" t="str">
        <f>VLOOKUP(C11,'Retail Rates'!$B$7:$D$34,3,FALSE)</f>
        <v>RGS</v>
      </c>
      <c r="F11" s="25">
        <f ca="1">SUMIF('Jul17-Jun18 Retail'!$E$7:$BJ$90,'12-MO Forecast Summary'!$C11,'Jul17-Jun18 Retail'!H$7:H$90)</f>
        <v>3556511</v>
      </c>
      <c r="G11" s="25">
        <f ca="1">SUMIF('Jul17-Jun18 Retail'!$E$7:$BJ$90,'12-MO Forecast Summary'!$C11,'Jul17-Jun18 Retail'!I$7:I$90)</f>
        <v>0</v>
      </c>
      <c r="H11" s="25">
        <f ca="1">SUMIF('Jul17-Jun18 Retail'!$E$7:$BJ$90,'12-MO Forecast Summary'!$C11,'Jul17-Jun18 Retail'!J$7:J$90)</f>
        <v>0</v>
      </c>
      <c r="I11" s="25">
        <f ca="1">SUMIF('Jul17-Jun18 Retail'!$E$7:$BJ$90,'12-MO Forecast Summary'!$C11,'Jul17-Jun18 Retail'!K$7:K$90)</f>
        <v>195163219.10371596</v>
      </c>
      <c r="J11" s="25">
        <f ca="1">SUMIF('Jul17-Jun18 Retail'!$E$7:$BJ$90,'12-MO Forecast Summary'!$C11,'Jul17-Jun18 Retail'!L$7:L$90)</f>
        <v>0</v>
      </c>
      <c r="K11" s="25">
        <f ca="1">SUMIF('Jul17-Jun18 Retail'!$E$7:$BJ$90,'12-MO Forecast Summary'!$C11,'Jul17-Jun18 Retail'!M$7:M$90)</f>
        <v>0</v>
      </c>
      <c r="L11" s="25"/>
      <c r="M11" s="573">
        <f ca="1">SUMIF('Jul17-Jun18 Retail'!$E$7:$BJ$90,'12-MO Forecast Summary'!$C11,'Jul17-Jun18 Retail'!AP$7:AP$90)</f>
        <v>48012898.5</v>
      </c>
      <c r="N11" s="573"/>
      <c r="O11" s="573">
        <f ca="1">SUMIF('Jul17-Jun18 Retail'!$E$7:$BJ$90,'12-MO Forecast Summary'!$C11,'Jul17-Jun18 Retail'!AQ$7:AQ$90)</f>
        <v>0</v>
      </c>
      <c r="P11" s="573"/>
      <c r="Q11" s="573">
        <f ca="1">SUMIF('Jul17-Jun18 Retail'!$E$7:$BJ$90,'12-MO Forecast Summary'!$C11,'Jul17-Jun18 Retail'!AX$7:AX$90)</f>
        <v>0</v>
      </c>
      <c r="R11" s="573">
        <f ca="1">SUMIF('Jul17-Jun18 Retail'!$E$7:$BJ$90,'12-MO Forecast Summary'!$C11,'Jul17-Jun18 Retail'!AR$7:AR$90)</f>
        <v>55998182.45742923</v>
      </c>
      <c r="S11" s="573">
        <f ca="1">SUMIF('Jul17-Jun18 Retail'!$E$7:$BJ$90,'12-MO Forecast Summary'!$C11,'Jul17-Jun18 Retail'!AS$7:AS$90)</f>
        <v>0</v>
      </c>
      <c r="T11" s="573"/>
      <c r="U11" s="573">
        <f ca="1">SUMIF('Jul17-Jun18 Retail'!$E$7:$BJ$90,'12-MO Forecast Summary'!$C11,'Jul17-Jun18 Retail'!AT$7:AT$90)</f>
        <v>84917418.250368789</v>
      </c>
      <c r="V11" s="573">
        <f ca="1">SUMIF('Jul17-Jun18 Retail'!$E$7:$BJ$90,'12-MO Forecast Summary'!$C11,'Jul17-Jun18 Retail'!AU$7:AU$90)</f>
        <v>2013223.6865790721</v>
      </c>
      <c r="W11" s="573">
        <f ca="1">SUMIF('Jul17-Jun18 Retail'!$E$7:$BJ$90,'12-MO Forecast Summary'!$C11,'Jul17-Jun18 Retail'!AW$7:AW$90)</f>
        <v>23222068.37169949</v>
      </c>
      <c r="X11" s="35">
        <f ca="1">SUMIF('Jul17-Jun18 Retail'!$E$7:$BJ$90,'12-MO Forecast Summary'!$C11,'Jul17-Jun18 Retail'!AZ$7:AZ$90)</f>
        <v>214163791.27000001</v>
      </c>
      <c r="Y11" s="35">
        <f ca="1">SUMIF('Jul17-Jun18 Retail'!$E$7:$BJ$90,'12-MO Forecast Summary'!$C11,'Jul17-Jun18 Retail'!BA$7:BA$90)</f>
        <v>214163791.26380712</v>
      </c>
      <c r="Z11" s="36">
        <f t="shared" ca="1" si="23"/>
        <v>1</v>
      </c>
      <c r="AA11" s="35">
        <f ca="1">SUMIF('Jul17-Jun18 Retail'!$E$7:$BJ$90,'12-MO Forecast Summary'!$C11,'Jul17-Jun18 Retail'!BC$7:BC$90)</f>
        <v>2013223.6865790721</v>
      </c>
      <c r="AB11" s="35">
        <f ca="1">SUMIF('Jul17-Jun18 Retail'!$E$7:$BJ$90,'12-MO Forecast Summary'!$C11,'Jul17-Jun18 Retail'!BD$7:BD$90)</f>
        <v>84917418.250368789</v>
      </c>
      <c r="AC11" s="35"/>
      <c r="AD11" s="35">
        <f ca="1">SUMIF('Jul17-Jun18 Retail'!$E$7:$BJ$90,'12-MO Forecast Summary'!$C11,'Jul17-Jun18 Retail'!BF$7:BF$90)</f>
        <v>0</v>
      </c>
      <c r="AE11" s="35">
        <f ca="1">SUMIF('Jul17-Jun18 Retail'!$E$7:$BJ$90,'12-MO Forecast Summary'!$C11,'Jul17-Jun18 Retail'!BG$7:BG$90)</f>
        <v>48012898.5</v>
      </c>
      <c r="AF11" s="35">
        <f ca="1">SUMIF('Jul17-Jun18 Retail'!$E$7:$BJ$90,'12-MO Forecast Summary'!$C11,'Jul17-Jun18 Retail'!BH$7:BH$90)</f>
        <v>55998182.455159783</v>
      </c>
      <c r="AG11" s="35">
        <f ca="1">SUMIF('Jul17-Jun18 Retail'!$E$7:$BJ$90,'12-MO Forecast Summary'!$C11,'Jul17-Jun18 Retail'!BI$7:BI$90)</f>
        <v>0</v>
      </c>
      <c r="AH11" s="35">
        <f ca="1">SUMIF('Jul17-Jun18 Retail'!$E$7:$BJ$90,'12-MO Forecast Summary'!$C11,'Jul17-Jun18 Retail'!BJ$7:BJ$90)</f>
        <v>23222068.37169949</v>
      </c>
    </row>
    <row r="12" spans="1:41" s="571" customFormat="1" x14ac:dyDescent="0.25">
      <c r="A12" s="351"/>
      <c r="B12" s="566"/>
      <c r="C12" s="566"/>
      <c r="D12" s="360"/>
      <c r="E12" s="360"/>
      <c r="F12" s="567"/>
      <c r="G12" s="567"/>
      <c r="H12" s="567"/>
      <c r="I12" s="567"/>
      <c r="J12" s="567"/>
      <c r="K12" s="567"/>
      <c r="L12" s="567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9"/>
      <c r="Y12" s="569"/>
      <c r="Z12" s="570"/>
      <c r="AA12" s="569"/>
      <c r="AB12" s="569"/>
      <c r="AC12" s="569"/>
      <c r="AD12" s="569"/>
      <c r="AE12" s="569"/>
      <c r="AF12" s="569"/>
      <c r="AG12" s="569"/>
      <c r="AH12" s="569"/>
    </row>
    <row r="13" spans="1:41" x14ac:dyDescent="0.25">
      <c r="A13" s="5">
        <f>+A11+1</f>
        <v>7</v>
      </c>
      <c r="B13" s="14" t="s">
        <v>215</v>
      </c>
      <c r="C13" s="565" t="s">
        <v>41</v>
      </c>
      <c r="D13" s="6" t="str">
        <f t="shared" si="22"/>
        <v>895</v>
      </c>
      <c r="E13" s="6" t="str">
        <f>VLOOKUP(C13,'Retail Rates'!$B$7:$D$34,3,FALSE)</f>
        <v>FT-C</v>
      </c>
      <c r="F13" s="25">
        <f>SUMIF('Jul17-Jun18 Transport'!$E$7:$E$89,'12-MO Forecast Summary'!$C13,'Jul17-Jun18 Transport'!$H$7:$H$89)</f>
        <v>876</v>
      </c>
      <c r="G13" s="25">
        <f>SUMIF('Jul17-Jun18 Transport'!$E$7:$E$89,'12-MO Forecast Summary'!$C13,'Jul17-Jun18 Transport'!$I$7:$I$89)</f>
        <v>0</v>
      </c>
      <c r="H13" s="25">
        <f>SUMIF('Jul17-Jun18 Transport'!$E$7:$E$89,'12-MO Forecast Summary'!$C13,'Jul17-Jun18 Transport'!$J$7:$J$89)</f>
        <v>0</v>
      </c>
      <c r="I13" s="25">
        <f>SUMIF('Jul17-Jun18 Transport'!$E$7:$E$89,'12-MO Forecast Summary'!$C13,'Jul17-Jun18 Transport'!$K$7:$K$89)</f>
        <v>123138884.97179304</v>
      </c>
      <c r="J13" s="25">
        <f>SUMIF('Jul17-Jun18 Transport'!$E$7:$E$89,'12-MO Forecast Summary'!$C13,'Jul17-Jun18 Transport'!$L$7:$L$89)</f>
        <v>0</v>
      </c>
      <c r="K13" s="25">
        <f>SUMIF('Jul17-Jun18 Transport'!$E$7:$E$89,'12-MO Forecast Summary'!$C13,'Jul17-Jun18 Transport'!$N$7:$N$89)</f>
        <v>0</v>
      </c>
      <c r="L13" s="25">
        <f>SUMIF('Jul17-Jun18 Transport'!$E$7:$E$89,'12-MO Forecast Summary'!$C13,'Jul17-Jun18 Transport'!$M$7:$M$89)</f>
        <v>828</v>
      </c>
      <c r="M13" s="574"/>
      <c r="N13" s="573">
        <f ca="1">SUMIF('Jul17-Jun18 Transport'!$E$7:$E$89,'12-MO Forecast Summary'!$C13,'Jul17-Jun18 Transport'!$AQ$7:$AQ$89)</f>
        <v>0</v>
      </c>
      <c r="O13" s="573">
        <f ca="1">SUMIF('Jul17-Jun18 Transport'!$E$7:$E$89,'12-MO Forecast Summary'!$C13,'Jul17-Jun18 Transport'!$AR$7:$AR$89)</f>
        <v>0</v>
      </c>
      <c r="P13" s="573">
        <f>SUMIF('Jul17-Jun18 Transport'!$E$7:$E$89,'12-MO Forecast Summary'!$C13,'Jul17-Jun18 Transport'!$AU$7:$AU$89)</f>
        <v>481800</v>
      </c>
      <c r="Q13" s="573">
        <f ca="1">SUMIF('Jul17-Jun18 Transport'!$E$7:$E$89,'12-MO Forecast Summary'!$C13,'Jul17-Jun18 Transport'!$BA$7:$BA$89)</f>
        <v>0</v>
      </c>
      <c r="R13" s="573">
        <f ca="1">SUMIF('Jul17-Jun18 Transport'!$E$7:$E$89,'12-MO Forecast Summary'!$C13,'Jul17-Jun18 Transport'!$AS$7:$AS$89)</f>
        <v>5297434.8314865371</v>
      </c>
      <c r="S13" s="573">
        <f ca="1">SUMIF('Jul17-Jun18 Transport'!$E$7:$E$89,'12-MO Forecast Summary'!$C13,'Jul17-Jun18 Transport'!$AT$7:$AT$89)</f>
        <v>0</v>
      </c>
      <c r="T13" s="573">
        <f>SUMIF('Jul17-Jun18 Transport'!$E$7:$E$89,'12-MO Forecast Summary'!$C13,'Jul17-Jun18 Transport'!$AV$7:$AV$89)</f>
        <v>62100</v>
      </c>
      <c r="U13" s="573">
        <f>SUMIF('Jul17-Jun18 Transport'!$E$7:$E$89,'12-MO Forecast Summary'!$C13,'Jul17-Jun18 Transport'!$AW$7:$AW$89)</f>
        <v>0</v>
      </c>
      <c r="V13" s="573">
        <f>SUMIF('Jul17-Jun18 Transport'!$G$7:$G$89,'12-MO Forecast Summary'!$E13,'Jul17-Jun18 Transport'!$AX$7:$AX$89)</f>
        <v>1930120.2622383344</v>
      </c>
      <c r="W13" s="573">
        <f>SUMIF('Jul17-Jun18 Transport'!$E$7:$E$89,'12-MO Forecast Summary'!$C13,'Jul17-Jun18 Transport'!$AZ$7:$AZ$89)</f>
        <v>0</v>
      </c>
      <c r="X13" s="35">
        <f ca="1">SUMIF('Jul17-Jun18 Transport'!$E$7:$E$89,'12-MO Forecast Summary'!$C13,'Jul17-Jun18 Transport'!$BC$7:$BC$89)</f>
        <v>7771455.0799999991</v>
      </c>
      <c r="Y13" s="35">
        <f>SUMIF('Jul17-Jun18 Transport'!$E$7:$E$89,'12-MO Forecast Summary'!$C13,'Jul17-Jun18 Transport'!$BD$7:$BD$89)</f>
        <v>7771455.0940576661</v>
      </c>
      <c r="Z13" s="36">
        <f t="shared" ca="1" si="23"/>
        <v>1</v>
      </c>
      <c r="AA13" s="35">
        <f>SUMIF('Jul17-Jun18 Transport'!$E$7:$E$89,'12-MO Forecast Summary'!$C13,'Jul17-Jun18 Transport'!$BF$7:$BF$89)</f>
        <v>1930120.2622383344</v>
      </c>
      <c r="AB13" s="35">
        <f>SUMIF('Jul17-Jun18 Transport'!$E$7:$E$89,'12-MO Forecast Summary'!$C13,'Jul17-Jun18 Transport'!$AW$7:$AW$89)</f>
        <v>0</v>
      </c>
      <c r="AC13" s="35">
        <f>SUMIF('Jul17-Jun18 Transport'!$E$7:$E$89,'12-MO Forecast Summary'!$C13,'Jul17-Jun18 Transport'!$BJ$7:$BJ$89)</f>
        <v>481800</v>
      </c>
      <c r="AD13" s="35"/>
      <c r="AE13" s="35">
        <f>SUMIF('Jul17-Jun18 Transport'!$E$7:$E$89,'12-MO Forecast Summary'!$C13,'Jul17-Jun18 Transport'!$BK$7:$BK$89)</f>
        <v>0</v>
      </c>
      <c r="AF13" s="35">
        <f>SUMIF('Jul17-Jun18 Transport'!$E$7:$E$89,'12-MO Forecast Summary'!$C13,'Jul17-Jun18 Transport'!$BL$7:$BL$89)</f>
        <v>5297434.8318193303</v>
      </c>
      <c r="AG13" s="35">
        <f>SUMIF('Jul17-Jun18 Transport'!$E$7:$E$89,'12-MO Forecast Summary'!$C13,'Jul17-Jun18 Transport'!$BM$7:$BM$89)</f>
        <v>0</v>
      </c>
      <c r="AH13" s="35">
        <f>SUMIF('Jul17-Jun18 Transport'!$E$7:$E$89,'12-MO Forecast Summary'!$C13,'Jul17-Jun18 Transport'!$BN$7:$BN$89)</f>
        <v>0</v>
      </c>
    </row>
    <row r="14" spans="1:41" x14ac:dyDescent="0.25">
      <c r="A14" s="5">
        <f t="shared" si="24"/>
        <v>8</v>
      </c>
      <c r="B14" s="14" t="s">
        <v>215</v>
      </c>
      <c r="C14" s="565" t="s">
        <v>43</v>
      </c>
      <c r="D14" s="6" t="str">
        <f t="shared" si="22"/>
        <v>896</v>
      </c>
      <c r="E14" s="6" t="str">
        <f>VLOOKUP(C14,'Retail Rates'!$B$7:$D$34,3,FALSE)</f>
        <v>FT-I</v>
      </c>
      <c r="F14" s="25">
        <f>SUMIF('Jul17-Jun18 Transport'!$E$7:$E$89,'12-MO Forecast Summary'!$C14,'Jul17-Jun18 Transport'!$H$7:$H$89)</f>
        <v>0</v>
      </c>
      <c r="G14" s="25">
        <f>SUMIF('Jul17-Jun18 Transport'!$E$7:$E$89,'12-MO Forecast Summary'!$C14,'Jul17-Jun18 Transport'!$I$7:$I$89)</f>
        <v>0</v>
      </c>
      <c r="H14" s="25">
        <f>SUMIF('Jul17-Jun18 Transport'!$E$7:$E$89,'12-MO Forecast Summary'!$C14,'Jul17-Jun18 Transport'!$J$7:$J$89)</f>
        <v>0</v>
      </c>
      <c r="I14" s="25">
        <f>SUMIF('Jul17-Jun18 Transport'!$E$7:$E$89,'12-MO Forecast Summary'!$C14,'Jul17-Jun18 Transport'!$K$7:$K$89)</f>
        <v>0</v>
      </c>
      <c r="J14" s="25">
        <f>SUMIF('Jul17-Jun18 Transport'!$E$7:$E$89,'12-MO Forecast Summary'!$C14,'Jul17-Jun18 Transport'!$L$7:$L$89)</f>
        <v>0</v>
      </c>
      <c r="K14" s="25">
        <f>SUMIF('Jul17-Jun18 Transport'!$E$7:$E$89,'12-MO Forecast Summary'!$C14,'Jul17-Jun18 Transport'!$N$7:$N$89)</f>
        <v>0</v>
      </c>
      <c r="L14" s="25">
        <f>SUMIF('Jul17-Jun18 Transport'!$E$7:$E$89,'12-MO Forecast Summary'!$C14,'Jul17-Jun18 Transport'!$M$7:$M$89)</f>
        <v>0</v>
      </c>
      <c r="M14" s="573"/>
      <c r="N14" s="573">
        <f ca="1">SUMIF('Jul17-Jun18 Transport'!$E$7:$E$89,'12-MO Forecast Summary'!$C14,'Jul17-Jun18 Transport'!$AQ$7:$AQ$89)</f>
        <v>0</v>
      </c>
      <c r="O14" s="573">
        <f ca="1">SUMIF('Jul17-Jun18 Transport'!$E$7:$E$89,'12-MO Forecast Summary'!$C14,'Jul17-Jun18 Transport'!$AR$7:$AR$89)</f>
        <v>0</v>
      </c>
      <c r="P14" s="573">
        <f>SUMIF('Jul17-Jun18 Transport'!$E$7:$E$89,'12-MO Forecast Summary'!$C14,'Jul17-Jun18 Transport'!$AU$7:$AU$89)</f>
        <v>0</v>
      </c>
      <c r="Q14" s="573">
        <f ca="1">SUMIF('Jul17-Jun18 Transport'!$E$7:$E$89,'12-MO Forecast Summary'!$C14,'Jul17-Jun18 Transport'!$BA$7:$BA$89)</f>
        <v>0</v>
      </c>
      <c r="R14" s="573">
        <f ca="1">SUMIF('Jul17-Jun18 Transport'!$E$7:$E$89,'12-MO Forecast Summary'!$C14,'Jul17-Jun18 Transport'!$AS$7:$AS$89)</f>
        <v>0</v>
      </c>
      <c r="S14" s="573">
        <f ca="1">SUMIF('Jul17-Jun18 Transport'!$E$7:$E$89,'12-MO Forecast Summary'!$C14,'Jul17-Jun18 Transport'!$AT$7:$AT$89)</f>
        <v>0</v>
      </c>
      <c r="T14" s="573">
        <f>SUMIF('Jul17-Jun18 Transport'!$E$7:$E$89,'12-MO Forecast Summary'!$C14,'Jul17-Jun18 Transport'!$AV$7:$AV$89)</f>
        <v>0</v>
      </c>
      <c r="U14" s="573">
        <f>SUMIF('Jul17-Jun18 Transport'!$E$7:$E$89,'12-MO Forecast Summary'!$C14,'Jul17-Jun18 Transport'!$AW$7:$AW$89)</f>
        <v>0</v>
      </c>
      <c r="V14" s="573">
        <f>SUMIF('Jul17-Jun18 Transport'!$G$7:$G$89,'12-MO Forecast Summary'!$E14,'Jul17-Jun18 Transport'!$AX$7:$AX$89)</f>
        <v>0</v>
      </c>
      <c r="W14" s="573">
        <f>SUMIF('Jul17-Jun18 Transport'!$E$7:$E$89,'12-MO Forecast Summary'!$C14,'Jul17-Jun18 Transport'!$AZ$7:$AZ$89)</f>
        <v>0</v>
      </c>
      <c r="X14" s="35">
        <f ca="1">SUMIF('Jul17-Jun18 Transport'!$E$7:$E$89,'12-MO Forecast Summary'!$C14,'Jul17-Jun18 Transport'!$BC$7:$BC$89)</f>
        <v>0</v>
      </c>
      <c r="Y14" s="35">
        <f>SUMIF('Jul17-Jun18 Transport'!$E$7:$E$89,'12-MO Forecast Summary'!$C14,'Jul17-Jun18 Transport'!$BD$7:$BD$89)</f>
        <v>0</v>
      </c>
      <c r="Z14" s="36">
        <f t="shared" si="23"/>
        <v>0</v>
      </c>
      <c r="AA14" s="35">
        <f>SUMIF('Jul17-Jun18 Transport'!$E$7:$E$89,'12-MO Forecast Summary'!$C14,'Jul17-Jun18 Transport'!$BF$7:$BF$89)</f>
        <v>0</v>
      </c>
      <c r="AB14" s="35">
        <f>SUMIF('Jul17-Jun18 Transport'!$E$7:$E$89,'12-MO Forecast Summary'!$C14,'Jul17-Jun18 Transport'!$AW$7:$AW$89)</f>
        <v>0</v>
      </c>
      <c r="AC14" s="35">
        <f>SUMIF('Jul17-Jun18 Transport'!$E$7:$E$89,'12-MO Forecast Summary'!$C14,'Jul17-Jun18 Transport'!$BJ$7:$BJ$89)</f>
        <v>0</v>
      </c>
      <c r="AD14" s="35"/>
      <c r="AE14" s="35">
        <f>SUMIF('Jul17-Jun18 Transport'!$E$7:$E$89,'12-MO Forecast Summary'!$C14,'Jul17-Jun18 Transport'!$BK$7:$BK$89)</f>
        <v>0</v>
      </c>
      <c r="AF14" s="35">
        <f>SUMIF('Jul17-Jun18 Transport'!$E$7:$E$89,'12-MO Forecast Summary'!$C14,'Jul17-Jun18 Transport'!$BL$7:$BL$89)</f>
        <v>0</v>
      </c>
      <c r="AG14" s="35">
        <f>SUMIF('Jul17-Jun18 Transport'!$E$7:$E$89,'12-MO Forecast Summary'!$C14,'Jul17-Jun18 Transport'!$BM$7:$BM$89)</f>
        <v>0</v>
      </c>
      <c r="AH14" s="35">
        <f>SUMIF('Jul17-Jun18 Transport'!$E$7:$E$89,'12-MO Forecast Summary'!$C14,'Jul17-Jun18 Transport'!$BN$7:$BN$89)</f>
        <v>0</v>
      </c>
    </row>
    <row r="15" spans="1:41" x14ac:dyDescent="0.25">
      <c r="A15" s="5">
        <f t="shared" si="24"/>
        <v>9</v>
      </c>
      <c r="B15" s="14" t="s">
        <v>215</v>
      </c>
      <c r="C15" s="565" t="s">
        <v>31</v>
      </c>
      <c r="D15" s="6" t="str">
        <f t="shared" si="22"/>
        <v>882</v>
      </c>
      <c r="E15" s="6" t="str">
        <f>VLOOKUP(C15,'Retail Rates'!$B$7:$D$34,3,FALSE)</f>
        <v>IGS-TS-2</v>
      </c>
      <c r="F15" s="25">
        <f>SUMIF('Jul17-Jun18 Transport'!$E$7:$E$89,'12-MO Forecast Summary'!$C15,'Jul17-Jun18 Transport'!$H$7:$H$89)</f>
        <v>0</v>
      </c>
      <c r="G15" s="25">
        <f>SUMIF('Jul17-Jun18 Transport'!$E$7:$E$89,'12-MO Forecast Summary'!$C15,'Jul17-Jun18 Transport'!$I$7:$I$89)</f>
        <v>0</v>
      </c>
      <c r="H15" s="25">
        <f>SUMIF('Jul17-Jun18 Transport'!$E$7:$E$89,'12-MO Forecast Summary'!$C15,'Jul17-Jun18 Transport'!$J$7:$J$89)</f>
        <v>60</v>
      </c>
      <c r="I15" s="25">
        <f>SUMIF('Jul17-Jun18 Transport'!$E$7:$E$89,'12-MO Forecast Summary'!$C15,'Jul17-Jun18 Transport'!$K$7:$K$89)</f>
        <v>1766869.4483145289</v>
      </c>
      <c r="J15" s="25">
        <f>SUMIF('Jul17-Jun18 Transport'!$E$7:$E$89,'12-MO Forecast Summary'!$C15,'Jul17-Jun18 Transport'!$L$7:$L$89)</f>
        <v>2832403.5893650241</v>
      </c>
      <c r="K15" s="25">
        <f>SUMIF('Jul17-Jun18 Transport'!$E$7:$E$89,'12-MO Forecast Summary'!$C15,'Jul17-Jun18 Transport'!$N$7:$N$89)</f>
        <v>0</v>
      </c>
      <c r="L15" s="25">
        <f>SUMIF('Jul17-Jun18 Transport'!$E$7:$E$89,'12-MO Forecast Summary'!$C15,'Jul17-Jun18 Transport'!$M$7:$M$89)</f>
        <v>24</v>
      </c>
      <c r="M15" s="573"/>
      <c r="N15" s="573">
        <f ca="1">SUMIF('Jul17-Jun18 Transport'!$E$7:$E$89,'12-MO Forecast Summary'!$C15,'Jul17-Jun18 Transport'!$AQ$7:$AQ$89)</f>
        <v>0</v>
      </c>
      <c r="O15" s="573">
        <f ca="1">SUMIF('Jul17-Jun18 Transport'!$E$7:$E$89,'12-MO Forecast Summary'!$C15,'Jul17-Jun18 Transport'!$AR$7:$AR$89)</f>
        <v>10800</v>
      </c>
      <c r="P15" s="573">
        <f>SUMIF('Jul17-Jun18 Transport'!$E$7:$E$89,'12-MO Forecast Summary'!$C15,'Jul17-Jun18 Transport'!$AU$7:$AU$89)</f>
        <v>33000</v>
      </c>
      <c r="Q15" s="573">
        <f ca="1">SUMIF('Jul17-Jun18 Transport'!$E$7:$E$89,'12-MO Forecast Summary'!$C15,'Jul17-Jun18 Transport'!$BA$7:$BA$89)</f>
        <v>0</v>
      </c>
      <c r="R15" s="573">
        <f ca="1">SUMIF('Jul17-Jun18 Transport'!$E$7:$E$89,'12-MO Forecast Summary'!$C15,'Jul17-Jun18 Transport'!$AS$7:$AS$89)</f>
        <v>402475.19163156662</v>
      </c>
      <c r="S15" s="573">
        <f ca="1">SUMIF('Jul17-Jun18 Transport'!$E$7:$E$89,'12-MO Forecast Summary'!$C15,'Jul17-Jun18 Transport'!$AT$7:$AT$89)</f>
        <v>503573.03415320773</v>
      </c>
      <c r="T15" s="573">
        <f>SUMIF('Jul17-Jun18 Transport'!$E$7:$E$89,'12-MO Forecast Summary'!$C15,'Jul17-Jun18 Transport'!$AV$7:$AV$89)</f>
        <v>1800</v>
      </c>
      <c r="U15" s="573">
        <f>SUMIF('Jul17-Jun18 Transport'!$E$7:$E$89,'12-MO Forecast Summary'!$C15,'Jul17-Jun18 Transport'!$AW$7:$AW$89)</f>
        <v>0</v>
      </c>
      <c r="V15" s="573">
        <f>SUMIF('Jul17-Jun18 Transport'!$G$7:$G$89,'12-MO Forecast Summary'!$E15,'Jul17-Jun18 Transport'!$AX$7:$AX$89)</f>
        <v>0</v>
      </c>
      <c r="W15" s="573">
        <f>SUMIF('Jul17-Jun18 Transport'!$E$7:$E$89,'12-MO Forecast Summary'!$C15,'Jul17-Jun18 Transport'!$AZ$7:$AZ$89)</f>
        <v>95485.002848615331</v>
      </c>
      <c r="X15" s="35">
        <f ca="1">SUMIF('Jul17-Jun18 Transport'!$E$7:$E$89,'12-MO Forecast Summary'!$C15,'Jul17-Jun18 Transport'!$BC$7:$BC$89)</f>
        <v>1047133.22</v>
      </c>
      <c r="Y15" s="35">
        <f>SUMIF('Jul17-Jun18 Transport'!$E$7:$E$89,'12-MO Forecast Summary'!$C15,'Jul17-Jun18 Transport'!$BD$7:$BD$89)</f>
        <v>1047133.2286424795</v>
      </c>
      <c r="Z15" s="36">
        <f t="shared" ca="1" si="23"/>
        <v>1</v>
      </c>
      <c r="AA15" s="35">
        <f>SUMIF('Jul17-Jun18 Transport'!$E$7:$E$89,'12-MO Forecast Summary'!$C15,'Jul17-Jun18 Transport'!$BF$7:$BF$89)</f>
        <v>0</v>
      </c>
      <c r="AB15" s="35">
        <f>SUMIF('Jul17-Jun18 Transport'!$E$7:$E$89,'12-MO Forecast Summary'!$C15,'Jul17-Jun18 Transport'!$AW$7:$AW$89)</f>
        <v>0</v>
      </c>
      <c r="AC15" s="35">
        <f>SUMIF('Jul17-Jun18 Transport'!$E$7:$E$89,'12-MO Forecast Summary'!$C15,'Jul17-Jun18 Transport'!$BJ$7:$BJ$89)</f>
        <v>33000</v>
      </c>
      <c r="AD15" s="35"/>
      <c r="AE15" s="35">
        <f>SUMIF('Jul17-Jun18 Transport'!$E$7:$E$89,'12-MO Forecast Summary'!$C15,'Jul17-Jun18 Transport'!$BK$7:$BK$89)</f>
        <v>10800</v>
      </c>
      <c r="AF15" s="35">
        <f>SUMIF('Jul17-Jun18 Transport'!$E$7:$E$89,'12-MO Forecast Summary'!$C15,'Jul17-Jun18 Transport'!$BL$7:$BL$89)</f>
        <v>906048.22579386446</v>
      </c>
      <c r="AG15" s="35">
        <f>SUMIF('Jul17-Jun18 Transport'!$E$7:$E$89,'12-MO Forecast Summary'!$C15,'Jul17-Jun18 Transport'!$BM$7:$BM$89)</f>
        <v>0</v>
      </c>
      <c r="AH15" s="35">
        <f>SUMIF('Jul17-Jun18 Transport'!$E$7:$E$89,'12-MO Forecast Summary'!$C15,'Jul17-Jun18 Transport'!$BN$7:$BN$89)</f>
        <v>95485.002848615331</v>
      </c>
    </row>
    <row r="16" spans="1:41" x14ac:dyDescent="0.25">
      <c r="A16" s="5">
        <f t="shared" si="24"/>
        <v>10</v>
      </c>
      <c r="B16" s="14" t="s">
        <v>215</v>
      </c>
      <c r="C16" s="565" t="s">
        <v>87</v>
      </c>
      <c r="D16" s="6" t="str">
        <f t="shared" si="22"/>
        <v>892</v>
      </c>
      <c r="E16" s="6" t="str">
        <f>VLOOKUP(C16,'Retail Rates'!$B$7:$D$34,3,FALSE)</f>
        <v>AAGS-I-TS-2</v>
      </c>
      <c r="F16" s="25">
        <f>SUMIF('Jul17-Jun18 Transport'!$E$7:$E$89,'12-MO Forecast Summary'!$C16,'Jul17-Jun18 Transport'!$H$7:$H$89)</f>
        <v>24</v>
      </c>
      <c r="G16" s="25">
        <f>SUMIF('Jul17-Jun18 Transport'!$E$7:$E$89,'12-MO Forecast Summary'!$C16,'Jul17-Jun18 Transport'!$I$7:$I$89)</f>
        <v>0</v>
      </c>
      <c r="H16" s="25">
        <f>SUMIF('Jul17-Jun18 Transport'!$E$7:$E$89,'12-MO Forecast Summary'!$C16,'Jul17-Jun18 Transport'!$J$7:$J$89)</f>
        <v>0</v>
      </c>
      <c r="I16" s="25">
        <f>SUMIF('Jul17-Jun18 Transport'!$E$7:$E$89,'12-MO Forecast Summary'!$C16,'Jul17-Jun18 Transport'!$K$7:$K$89)</f>
        <v>2556829.2084060446</v>
      </c>
      <c r="J16" s="25">
        <f>SUMIF('Jul17-Jun18 Transport'!$E$7:$E$89,'12-MO Forecast Summary'!$C16,'Jul17-Jun18 Transport'!$L$7:$L$89)</f>
        <v>0</v>
      </c>
      <c r="K16" s="25">
        <f>SUMIF('Jul17-Jun18 Transport'!$E$7:$E$89,'12-MO Forecast Summary'!$C16,'Jul17-Jun18 Transport'!$N$7:$N$89)</f>
        <v>0</v>
      </c>
      <c r="L16" s="25">
        <f>SUMIF('Jul17-Jun18 Transport'!$E$7:$E$89,'12-MO Forecast Summary'!$C16,'Jul17-Jun18 Transport'!$M$7:$M$89)</f>
        <v>0</v>
      </c>
      <c r="M16" s="573"/>
      <c r="N16" s="573">
        <f ca="1">SUMIF('Jul17-Jun18 Transport'!$E$7:$E$89,'12-MO Forecast Summary'!$C16,'Jul17-Jun18 Transport'!$AQ$7:$AQ$89)</f>
        <v>9600</v>
      </c>
      <c r="O16" s="573">
        <f ca="1">SUMIF('Jul17-Jun18 Transport'!$E$7:$E$89,'12-MO Forecast Summary'!$C16,'Jul17-Jun18 Transport'!$AR$7:$AR$89)</f>
        <v>0</v>
      </c>
      <c r="P16" s="573">
        <f>SUMIF('Jul17-Jun18 Transport'!$E$7:$E$89,'12-MO Forecast Summary'!$C16,'Jul17-Jun18 Transport'!$AU$7:$AU$89)</f>
        <v>13200</v>
      </c>
      <c r="Q16" s="573">
        <f ca="1">SUMIF('Jul17-Jun18 Transport'!$E$7:$E$89,'12-MO Forecast Summary'!$C16,'Jul17-Jun18 Transport'!$BA$7:$BA$89)</f>
        <v>0</v>
      </c>
      <c r="R16" s="573">
        <f ca="1">SUMIF('Jul17-Jun18 Transport'!$E$7:$E$89,'12-MO Forecast Summary'!$C16,'Jul17-Jun18 Transport'!$AS$7:$AS$89)</f>
        <v>179208.15921717969</v>
      </c>
      <c r="S16" s="573">
        <f ca="1">SUMIF('Jul17-Jun18 Transport'!$E$7:$E$89,'12-MO Forecast Summary'!$C16,'Jul17-Jun18 Transport'!$AT$7:$AT$89)</f>
        <v>0</v>
      </c>
      <c r="T16" s="573">
        <f>SUMIF('Jul17-Jun18 Transport'!$E$7:$E$89,'12-MO Forecast Summary'!$C16,'Jul17-Jun18 Transport'!$AV$7:$AV$89)</f>
        <v>0</v>
      </c>
      <c r="U16" s="573">
        <f>SUMIF('Jul17-Jun18 Transport'!$E$7:$E$89,'12-MO Forecast Summary'!$C16,'Jul17-Jun18 Transport'!$AW$7:$AW$89)</f>
        <v>0</v>
      </c>
      <c r="V16" s="573">
        <f>SUMIF('Jul17-Jun18 Transport'!$G$7:$G$89,'12-MO Forecast Summary'!$E16,'Jul17-Jun18 Transport'!$AX$7:$AX$89)</f>
        <v>0</v>
      </c>
      <c r="W16" s="573">
        <f>SUMIF('Jul17-Jun18 Transport'!$E$7:$E$89,'12-MO Forecast Summary'!$C16,'Jul17-Jun18 Transport'!$AZ$7:$AZ$89)</f>
        <v>56286.870434642828</v>
      </c>
      <c r="X16" s="35">
        <f ca="1">SUMIF('Jul17-Jun18 Transport'!$E$7:$E$89,'12-MO Forecast Summary'!$C16,'Jul17-Jun18 Transport'!$BC$7:$BC$89)</f>
        <v>258295.03</v>
      </c>
      <c r="Y16" s="35">
        <f>SUMIF('Jul17-Jun18 Transport'!$E$7:$E$89,'12-MO Forecast Summary'!$C16,'Jul17-Jun18 Transport'!$BD$7:$BD$89)</f>
        <v>258295.0296518222</v>
      </c>
      <c r="Z16" s="36">
        <f t="shared" ca="1" si="23"/>
        <v>1</v>
      </c>
      <c r="AA16" s="35">
        <f>SUMIF('Jul17-Jun18 Transport'!$E$7:$E$89,'12-MO Forecast Summary'!$C16,'Jul17-Jun18 Transport'!$BF$7:$BF$89)</f>
        <v>0</v>
      </c>
      <c r="AB16" s="35">
        <f>SUMIF('Jul17-Jun18 Transport'!$E$7:$E$89,'12-MO Forecast Summary'!$C16,'Jul17-Jun18 Transport'!$AW$7:$AW$89)</f>
        <v>0</v>
      </c>
      <c r="AC16" s="35">
        <f>SUMIF('Jul17-Jun18 Transport'!$E$7:$E$89,'12-MO Forecast Summary'!$C16,'Jul17-Jun18 Transport'!$BJ$7:$BJ$89)</f>
        <v>13200</v>
      </c>
      <c r="AD16" s="35"/>
      <c r="AE16" s="35">
        <f>SUMIF('Jul17-Jun18 Transport'!$E$7:$E$89,'12-MO Forecast Summary'!$C16,'Jul17-Jun18 Transport'!$BK$7:$BK$89)</f>
        <v>9600</v>
      </c>
      <c r="AF16" s="35">
        <f>SUMIF('Jul17-Jun18 Transport'!$E$7:$E$89,'12-MO Forecast Summary'!$C16,'Jul17-Jun18 Transport'!$BL$7:$BL$89)</f>
        <v>179208.1592171794</v>
      </c>
      <c r="AG16" s="35">
        <f>SUMIF('Jul17-Jun18 Transport'!$E$7:$E$89,'12-MO Forecast Summary'!$C16,'Jul17-Jun18 Transport'!$BM$7:$BM$89)</f>
        <v>0</v>
      </c>
      <c r="AH16" s="35">
        <f>SUMIF('Jul17-Jun18 Transport'!$E$7:$E$89,'12-MO Forecast Summary'!$C16,'Jul17-Jun18 Transport'!$BN$7:$BN$89)</f>
        <v>56286.870434642828</v>
      </c>
    </row>
    <row r="17" spans="1:34" x14ac:dyDescent="0.25">
      <c r="A17" s="5">
        <f>A16+1</f>
        <v>11</v>
      </c>
      <c r="B17" s="14" t="s">
        <v>215</v>
      </c>
      <c r="C17" s="565" t="s">
        <v>51</v>
      </c>
      <c r="D17" s="6" t="str">
        <f t="shared" si="22"/>
        <v>997</v>
      </c>
      <c r="E17" s="6" t="str">
        <f>VLOOKUP(C17,'Retail Rates'!$B$7:$D$34,3,FALSE)</f>
        <v>SPC-P</v>
      </c>
      <c r="F17" s="25">
        <f>SUMIF('Jul17-Jun18 Transport'!$E$7:$E$89,'12-MO Forecast Summary'!$C17,'Jul17-Jun18 Transport'!$H$7:$H$89)</f>
        <v>0</v>
      </c>
      <c r="G17" s="25">
        <f>SUMIF('Jul17-Jun18 Transport'!$E$7:$E$89,'12-MO Forecast Summary'!$C17,'Jul17-Jun18 Transport'!$I$7:$I$89)</f>
        <v>0</v>
      </c>
      <c r="H17" s="25">
        <f>SUMIF('Jul17-Jun18 Transport'!$E$7:$E$89,'12-MO Forecast Summary'!$C17,'Jul17-Jun18 Transport'!$J$7:$J$89)</f>
        <v>0</v>
      </c>
      <c r="I17" s="25">
        <f>SUMIF('Jul17-Jun18 Transport'!$E$7:$E$89,'12-MO Forecast Summary'!$C17,'Jul17-Jun18 Transport'!$K$7:$K$89)</f>
        <v>0</v>
      </c>
      <c r="J17" s="25">
        <f>SUMIF('Jul17-Jun18 Transport'!$E$7:$E$89,'12-MO Forecast Summary'!$C17,'Jul17-Jun18 Transport'!$L$7:$L$89)</f>
        <v>0</v>
      </c>
      <c r="K17" s="25">
        <f>SUMIF('Jul17-Jun18 Transport'!$E$7:$E$89,'12-MO Forecast Summary'!$C17,'Jul17-Jun18 Transport'!$N$7:$N$89)</f>
        <v>0</v>
      </c>
      <c r="L17" s="25">
        <f>SUMIF('Jul17-Jun18 Transport'!$E$7:$E$89,'12-MO Forecast Summary'!$C17,'Jul17-Jun18 Transport'!$M$7:$M$89)</f>
        <v>0</v>
      </c>
      <c r="M17" s="573"/>
      <c r="N17" s="573">
        <f ca="1">SUMIF('Jul17-Jun18 Transport'!$E$7:$E$89,'12-MO Forecast Summary'!$C17,'Jul17-Jun18 Transport'!$AQ$7:$AQ$89)</f>
        <v>0</v>
      </c>
      <c r="O17" s="573">
        <f ca="1">SUMIF('Jul17-Jun18 Transport'!$E$7:$E$89,'12-MO Forecast Summary'!$C17,'Jul17-Jun18 Transport'!$AR$7:$AR$89)</f>
        <v>0</v>
      </c>
      <c r="P17" s="573">
        <f>SUMIF('Jul17-Jun18 Transport'!$E$7:$E$89,'12-MO Forecast Summary'!$C17,'Jul17-Jun18 Transport'!$AU$7:$AU$89)</f>
        <v>0</v>
      </c>
      <c r="Q17" s="573">
        <f ca="1">SUMIF('Jul17-Jun18 Transport'!$E$7:$E$89,'12-MO Forecast Summary'!$C17,'Jul17-Jun18 Transport'!$BA$7:$BA$89)</f>
        <v>0</v>
      </c>
      <c r="R17" s="573">
        <f ca="1">SUMIF('Jul17-Jun18 Transport'!$E$7:$E$89,'12-MO Forecast Summary'!$C17,'Jul17-Jun18 Transport'!$AS$7:$AS$89)</f>
        <v>0</v>
      </c>
      <c r="S17" s="573">
        <f ca="1">SUMIF('Jul17-Jun18 Transport'!$E$7:$E$89,'12-MO Forecast Summary'!$C17,'Jul17-Jun18 Transport'!$AT$7:$AT$89)</f>
        <v>0</v>
      </c>
      <c r="T17" s="573">
        <f>SUMIF('Jul17-Jun18 Transport'!$E$7:$E$89,'12-MO Forecast Summary'!$C17,'Jul17-Jun18 Transport'!$AV$7:$AV$89)</f>
        <v>0</v>
      </c>
      <c r="U17" s="573">
        <f>SUMIF('Jul17-Jun18 Transport'!$E$7:$E$89,'12-MO Forecast Summary'!$C17,'Jul17-Jun18 Transport'!$AW$7:$AW$89)</f>
        <v>0</v>
      </c>
      <c r="V17" s="573">
        <f>SUMIF('Jul17-Jun18 Transport'!$G$7:$G$89,'12-MO Forecast Summary'!$E17,'Jul17-Jun18 Transport'!$AX$7:$AX$89)</f>
        <v>0</v>
      </c>
      <c r="W17" s="573">
        <f>SUMIF('Jul17-Jun18 Transport'!$E$7:$E$89,'12-MO Forecast Summary'!$C17,'Jul17-Jun18 Transport'!$AZ$7:$AZ$89)</f>
        <v>0</v>
      </c>
      <c r="X17" s="35">
        <f ca="1">SUMIF('Jul17-Jun18 Transport'!$E$7:$E$89,'12-MO Forecast Summary'!$C17,'Jul17-Jun18 Transport'!$BC$7:$BC$89)</f>
        <v>0</v>
      </c>
      <c r="Y17" s="35">
        <f>SUMIF('Jul17-Jun18 Transport'!$E$7:$E$89,'12-MO Forecast Summary'!$C17,'Jul17-Jun18 Transport'!$BD$7:$BD$89)</f>
        <v>0</v>
      </c>
      <c r="Z17" s="36">
        <f t="shared" si="23"/>
        <v>0</v>
      </c>
      <c r="AA17" s="35">
        <f>SUMIF('Jul17-Jun18 Transport'!$E$7:$E$89,'12-MO Forecast Summary'!$C17,'Jul17-Jun18 Transport'!$BF$7:$BF$89)</f>
        <v>0</v>
      </c>
      <c r="AB17" s="35">
        <f>SUMIF('Jul17-Jun18 Transport'!$E$7:$E$89,'12-MO Forecast Summary'!$C17,'Jul17-Jun18 Transport'!$AW$7:$AW$89)</f>
        <v>0</v>
      </c>
      <c r="AC17" s="35">
        <f>SUMIF('Jul17-Jun18 Transport'!$E$7:$E$89,'12-MO Forecast Summary'!$C17,'Jul17-Jun18 Transport'!$BJ$7:$BJ$89)</f>
        <v>0</v>
      </c>
      <c r="AD17" s="35"/>
      <c r="AE17" s="35">
        <f>SUMIF('Jul17-Jun18 Transport'!$E$7:$E$89,'12-MO Forecast Summary'!$C17,'Jul17-Jun18 Transport'!$BK$7:$BK$89)</f>
        <v>0</v>
      </c>
      <c r="AF17" s="35">
        <f>SUMIF('Jul17-Jun18 Transport'!$E$7:$E$89,'12-MO Forecast Summary'!$C17,'Jul17-Jun18 Transport'!$BL$7:$BL$89)</f>
        <v>0</v>
      </c>
      <c r="AG17" s="35">
        <f>SUMIF('Jul17-Jun18 Transport'!$E$7:$E$89,'12-MO Forecast Summary'!$C17,'Jul17-Jun18 Transport'!$BM$7:$BM$89)</f>
        <v>0</v>
      </c>
      <c r="AH17" s="35">
        <f>SUMIF('Jul17-Jun18 Transport'!$E$7:$E$89,'12-MO Forecast Summary'!$C17,'Jul17-Jun18 Transport'!$BN$7:$BN$89)</f>
        <v>0</v>
      </c>
    </row>
    <row r="18" spans="1:34" x14ac:dyDescent="0.25">
      <c r="A18" s="5">
        <f>A17+1</f>
        <v>12</v>
      </c>
      <c r="B18" s="14" t="s">
        <v>215</v>
      </c>
      <c r="C18" s="565" t="s">
        <v>34</v>
      </c>
      <c r="D18" s="6" t="str">
        <f t="shared" si="22"/>
        <v>996</v>
      </c>
      <c r="E18" s="6" t="str">
        <f>VLOOKUP(C18,'Retail Rates'!$B$7:$D$34,3,FALSE)</f>
        <v>SPC-LGE</v>
      </c>
      <c r="F18" s="25">
        <f>SUMIF('Jul17-Jun18 Transport'!$E$7:$E$89,'12-MO Forecast Summary'!$C18,'Jul17-Jun18 Transport'!$H$7:$H$89)</f>
        <v>12</v>
      </c>
      <c r="G18" s="25">
        <f>SUMIF('Jul17-Jun18 Transport'!$E$7:$E$89,'12-MO Forecast Summary'!$C18,'Jul17-Jun18 Transport'!$I$7:$I$89)</f>
        <v>0</v>
      </c>
      <c r="H18" s="25">
        <f>SUMIF('Jul17-Jun18 Transport'!$E$7:$E$89,'12-MO Forecast Summary'!$C18,'Jul17-Jun18 Transport'!$J$7:$J$89)</f>
        <v>0</v>
      </c>
      <c r="I18" s="25">
        <f>SUMIF('Jul17-Jun18 Transport'!$E$7:$E$89,'12-MO Forecast Summary'!$C18,'Jul17-Jun18 Transport'!$K$7:$K$89)</f>
        <v>1545798</v>
      </c>
      <c r="J18" s="25">
        <f>SUMIF('Jul17-Jun18 Transport'!$E$7:$E$89,'12-MO Forecast Summary'!$C18,'Jul17-Jun18 Transport'!$L$7:$L$89)</f>
        <v>0</v>
      </c>
      <c r="K18" s="25">
        <f>SUMIF('Jul17-Jun18 Transport'!$E$7:$E$89,'12-MO Forecast Summary'!$C18,'Jul17-Jun18 Transport'!$N$7:$N$89)</f>
        <v>1987200</v>
      </c>
      <c r="L18" s="25">
        <f>SUMIF('Jul17-Jun18 Transport'!$E$7:$E$89,'12-MO Forecast Summary'!$C18,'Jul17-Jun18 Transport'!$M$7:$M$89)</f>
        <v>0</v>
      </c>
      <c r="M18" s="573"/>
      <c r="N18" s="573">
        <f ca="1">SUMIF('Jul17-Jun18 Transport'!$E$7:$E$89,'12-MO Forecast Summary'!$C18,'Jul17-Jun18 Transport'!$AQ$7:$AQ$89)</f>
        <v>2160</v>
      </c>
      <c r="O18" s="573">
        <f ca="1">SUMIF('Jul17-Jun18 Transport'!$E$7:$E$89,'12-MO Forecast Summary'!$C18,'Jul17-Jun18 Transport'!$AR$7:$AR$89)</f>
        <v>0</v>
      </c>
      <c r="P18" s="573">
        <f>SUMIF('Jul17-Jun18 Transport'!$E$7:$E$89,'12-MO Forecast Summary'!$C18,'Jul17-Jun18 Transport'!$AU$7:$AU$89)</f>
        <v>0</v>
      </c>
      <c r="Q18" s="573">
        <f ca="1">SUMIF('Jul17-Jun18 Transport'!$E$7:$E$89,'12-MO Forecast Summary'!$C18,'Jul17-Jun18 Transport'!$BA$7:$BA$89)</f>
        <v>2238163.4880000004</v>
      </c>
      <c r="R18" s="573">
        <f ca="1">SUMIF('Jul17-Jun18 Transport'!$E$7:$E$89,'12-MO Forecast Summary'!$C18,'Jul17-Jun18 Transport'!$AS$7:$AS$89)</f>
        <v>51459.615419999987</v>
      </c>
      <c r="S18" s="573">
        <f ca="1">SUMIF('Jul17-Jun18 Transport'!$E$7:$E$89,'12-MO Forecast Summary'!$C18,'Jul17-Jun18 Transport'!$AT$7:$AT$89)</f>
        <v>0</v>
      </c>
      <c r="T18" s="573">
        <f>SUMIF('Jul17-Jun18 Transport'!$E$7:$E$89,'12-MO Forecast Summary'!$C18,'Jul17-Jun18 Transport'!$AV$7:$AV$89)</f>
        <v>0</v>
      </c>
      <c r="U18" s="573">
        <f>SUMIF('Jul17-Jun18 Transport'!$E$7:$E$89,'12-MO Forecast Summary'!$C18,'Jul17-Jun18 Transport'!$AW$7:$AW$89)</f>
        <v>630517.45178326871</v>
      </c>
      <c r="V18" s="573">
        <f>SUMIF('Jul17-Jun18 Transport'!$G$7:$G$89,'12-MO Forecast Summary'!$E18,'Jul17-Jun18 Transport'!$AX$7:$AX$89)</f>
        <v>0</v>
      </c>
      <c r="W18" s="573">
        <f>SUMIF('Jul17-Jun18 Transport'!$E$7:$E$89,'12-MO Forecast Summary'!$C18,'Jul17-Jun18 Transport'!$AZ$7:$AZ$89)</f>
        <v>0</v>
      </c>
      <c r="X18" s="35">
        <f ca="1">SUMIF('Jul17-Jun18 Transport'!$E$7:$E$89,'12-MO Forecast Summary'!$C18,'Jul17-Jun18 Transport'!$BC$7:$BC$89)</f>
        <v>2922300.5600000005</v>
      </c>
      <c r="Y18" s="35">
        <f>SUMIF('Jul17-Jun18 Transport'!$E$7:$E$89,'12-MO Forecast Summary'!$C18,'Jul17-Jun18 Transport'!$BD$7:$BD$89)</f>
        <v>2922300.5552032683</v>
      </c>
      <c r="Z18" s="36">
        <f t="shared" ca="1" si="23"/>
        <v>1</v>
      </c>
      <c r="AA18" s="35">
        <f>SUMIF('Jul17-Jun18 Transport'!$E$7:$E$89,'12-MO Forecast Summary'!$C18,'Jul17-Jun18 Transport'!$BF$7:$BF$89)</f>
        <v>0</v>
      </c>
      <c r="AB18" s="35">
        <f>SUMIF('Jul17-Jun18 Transport'!$E$7:$E$89,'12-MO Forecast Summary'!$C18,'Jul17-Jun18 Transport'!$AW$7:$AW$89)</f>
        <v>630517.45178326871</v>
      </c>
      <c r="AC18" s="35">
        <f>SUMIF('Jul17-Jun18 Transport'!$E$7:$E$89,'12-MO Forecast Summary'!$C18,'Jul17-Jun18 Transport'!$BJ$7:$BJ$89)</f>
        <v>0</v>
      </c>
      <c r="AD18" s="35"/>
      <c r="AE18" s="35">
        <f>SUMIF('Jul17-Jun18 Transport'!$E$7:$E$89,'12-MO Forecast Summary'!$C18,'Jul17-Jun18 Transport'!$BK$7:$BK$89)</f>
        <v>2160</v>
      </c>
      <c r="AF18" s="35">
        <f>SUMIF('Jul17-Jun18 Transport'!$E$7:$E$89,'12-MO Forecast Summary'!$C18,'Jul17-Jun18 Transport'!$BL$7:$BL$89)</f>
        <v>51459.615419999973</v>
      </c>
      <c r="AG18" s="35">
        <f>SUMIF('Jul17-Jun18 Transport'!$E$7:$E$89,'12-MO Forecast Summary'!$C18,'Jul17-Jun18 Transport'!$BM$7:$BM$89)</f>
        <v>2238163.4880000004</v>
      </c>
      <c r="AH18" s="35">
        <f>SUMIF('Jul17-Jun18 Transport'!$E$7:$E$89,'12-MO Forecast Summary'!$C18,'Jul17-Jun18 Transport'!$BN$7:$BN$89)</f>
        <v>0</v>
      </c>
    </row>
    <row r="19" spans="1:34" x14ac:dyDescent="0.25">
      <c r="A19" s="5"/>
      <c r="B19" s="14"/>
      <c r="C19" s="14"/>
      <c r="D19" s="6"/>
      <c r="E19" s="6"/>
      <c r="F19" s="25"/>
      <c r="G19" s="25"/>
      <c r="H19" s="25"/>
      <c r="I19" s="25"/>
      <c r="J19" s="25"/>
      <c r="K19" s="25"/>
      <c r="L19" s="25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5"/>
      <c r="Y19" s="35"/>
      <c r="Z19" s="36"/>
      <c r="AA19" s="35"/>
      <c r="AB19" s="35"/>
      <c r="AC19" s="35"/>
      <c r="AD19" s="35"/>
      <c r="AE19" s="35"/>
      <c r="AF19" s="35"/>
      <c r="AG19" s="35"/>
    </row>
    <row r="20" spans="1:34" x14ac:dyDescent="0.25">
      <c r="A20" s="5"/>
      <c r="B20" s="14"/>
      <c r="C20" s="14"/>
      <c r="D20" s="14"/>
      <c r="E20" s="14"/>
      <c r="F20" s="25"/>
      <c r="G20" s="25"/>
      <c r="H20" s="25"/>
      <c r="I20" s="25"/>
      <c r="J20" s="25"/>
      <c r="K20" s="25"/>
      <c r="L20" s="25"/>
      <c r="M20" s="28"/>
      <c r="N20" s="28"/>
      <c r="O20" s="28"/>
      <c r="P20" s="28"/>
      <c r="Q20" s="28"/>
      <c r="R20" s="28"/>
      <c r="S20" s="28"/>
      <c r="T20" s="28"/>
      <c r="U20" s="28"/>
      <c r="V20" s="25"/>
      <c r="W20" s="28"/>
      <c r="X20" s="35">
        <f ca="1">SUM(X6:X18)</f>
        <v>327901507.04999995</v>
      </c>
      <c r="Y20" s="35">
        <f ca="1">SUM(Y6:Y18)</f>
        <v>327901507.05331349</v>
      </c>
      <c r="Z20" s="36"/>
      <c r="AA20" s="35"/>
      <c r="AB20" s="35"/>
      <c r="AC20" s="35"/>
      <c r="AD20" s="35"/>
      <c r="AE20" s="35"/>
      <c r="AF20" s="35"/>
      <c r="AG20" s="35"/>
    </row>
    <row r="21" spans="1:34" x14ac:dyDescent="0.25">
      <c r="A21" s="5"/>
      <c r="B21" s="14"/>
      <c r="C21" s="14"/>
      <c r="D21" s="6"/>
      <c r="E21" s="6"/>
      <c r="F21" s="25">
        <f ca="1">SUM(F6:H18)</f>
        <v>3860041</v>
      </c>
      <c r="G21" s="25"/>
      <c r="H21" s="25"/>
      <c r="I21" s="25">
        <f ca="1">SUM(I6:J18)</f>
        <v>444555529.46566725</v>
      </c>
      <c r="J21" s="25"/>
      <c r="K21" s="25"/>
      <c r="L21" s="25"/>
      <c r="M21" s="28"/>
      <c r="N21" s="28"/>
      <c r="O21" s="28"/>
      <c r="P21" s="28"/>
      <c r="Q21" s="28"/>
      <c r="R21" s="28"/>
      <c r="S21" s="28"/>
      <c r="T21" s="28"/>
      <c r="U21" s="53"/>
      <c r="V21" s="25"/>
      <c r="W21" s="28"/>
      <c r="X21" s="35"/>
      <c r="Y21" s="35"/>
      <c r="Z21" s="36"/>
      <c r="AA21" s="35"/>
      <c r="AB21" s="35"/>
      <c r="AC21" s="35"/>
      <c r="AD21" s="35"/>
      <c r="AE21" s="35"/>
      <c r="AF21" s="35"/>
      <c r="AG21" s="35"/>
    </row>
    <row r="22" spans="1:34" x14ac:dyDescent="0.25">
      <c r="A22" s="5"/>
      <c r="B22" s="14"/>
      <c r="C22" s="14"/>
      <c r="D22" s="6"/>
      <c r="E22" s="6"/>
      <c r="F22" s="25"/>
      <c r="G22" s="25"/>
      <c r="H22" s="25"/>
      <c r="I22" s="25"/>
      <c r="J22" s="25"/>
      <c r="K22" s="25"/>
      <c r="L22" s="25"/>
      <c r="M22" s="28"/>
      <c r="N22" s="28"/>
      <c r="O22" s="28"/>
      <c r="P22" s="28"/>
      <c r="Q22" s="28"/>
      <c r="R22" s="28"/>
      <c r="S22" s="28"/>
      <c r="T22" s="28"/>
      <c r="U22" s="28"/>
      <c r="V22" s="25"/>
      <c r="W22" s="28"/>
      <c r="X22" s="35"/>
      <c r="Y22" s="35"/>
      <c r="Z22" s="36"/>
      <c r="AA22" s="35"/>
      <c r="AB22" s="35"/>
      <c r="AC22" s="35"/>
      <c r="AD22" s="35"/>
      <c r="AE22" s="35"/>
      <c r="AF22" s="35"/>
      <c r="AG22" s="35"/>
    </row>
    <row r="23" spans="1:34" x14ac:dyDescent="0.25">
      <c r="A23" s="5"/>
      <c r="B23" s="14"/>
      <c r="C23" s="14"/>
      <c r="D23" s="6"/>
      <c r="E23" s="6"/>
      <c r="F23" s="25"/>
      <c r="G23" s="25"/>
      <c r="H23" s="25"/>
      <c r="I23" s="25"/>
      <c r="J23" s="25"/>
      <c r="K23" s="25"/>
      <c r="L23" s="25"/>
      <c r="M23" s="28"/>
      <c r="N23" s="28"/>
      <c r="O23" s="28"/>
      <c r="P23" s="28"/>
      <c r="Q23" s="28"/>
      <c r="R23" s="28"/>
      <c r="S23" s="28"/>
      <c r="T23" s="28"/>
      <c r="U23" s="28"/>
      <c r="V23" s="25"/>
      <c r="W23" s="28"/>
      <c r="X23" s="35"/>
      <c r="Y23" s="35"/>
      <c r="Z23" s="36"/>
      <c r="AA23" s="35"/>
      <c r="AB23" s="35"/>
      <c r="AC23" s="35"/>
      <c r="AD23" s="35"/>
      <c r="AE23" s="35"/>
      <c r="AF23" s="35"/>
      <c r="AG23" s="35"/>
    </row>
    <row r="24" spans="1:34" x14ac:dyDescent="0.25">
      <c r="A24" s="5"/>
      <c r="B24" s="14"/>
      <c r="C24" s="14"/>
      <c r="D24" s="6"/>
      <c r="E24" s="6"/>
      <c r="F24" s="25"/>
      <c r="G24" s="25"/>
      <c r="H24" s="25"/>
      <c r="I24" s="25"/>
      <c r="J24" s="25"/>
      <c r="K24" s="25"/>
      <c r="L24" s="25"/>
      <c r="M24" s="28"/>
      <c r="N24" s="28"/>
      <c r="O24" s="28"/>
      <c r="P24" s="28"/>
      <c r="Q24" s="28"/>
      <c r="R24" s="28"/>
      <c r="S24" s="28"/>
      <c r="T24" s="28"/>
      <c r="U24" s="28"/>
      <c r="V24" s="25"/>
      <c r="W24" s="28"/>
      <c r="X24" s="35"/>
      <c r="Y24" s="35"/>
      <c r="Z24" s="36"/>
      <c r="AA24" s="35"/>
      <c r="AB24" s="35"/>
      <c r="AC24" s="35"/>
      <c r="AD24" s="35"/>
      <c r="AE24" s="35"/>
      <c r="AF24" s="35"/>
      <c r="AG24" s="35"/>
    </row>
    <row r="25" spans="1:34" x14ac:dyDescent="0.25">
      <c r="A25" s="5"/>
      <c r="B25" s="14"/>
      <c r="C25" s="14"/>
      <c r="D25" s="6"/>
      <c r="E25" s="6"/>
      <c r="F25" s="25"/>
      <c r="G25" s="25"/>
      <c r="H25" s="25"/>
      <c r="I25" s="25"/>
      <c r="J25" s="25"/>
      <c r="K25" s="25"/>
      <c r="L25" s="25"/>
      <c r="M25" s="28"/>
      <c r="N25" s="28"/>
      <c r="O25" s="28"/>
      <c r="P25" s="28"/>
      <c r="Q25" s="28"/>
      <c r="R25" s="28"/>
      <c r="S25" s="28"/>
      <c r="T25" s="28"/>
      <c r="U25" s="28"/>
      <c r="V25" s="25"/>
      <c r="W25" s="28"/>
      <c r="X25" s="35"/>
      <c r="Y25" s="35"/>
      <c r="Z25" s="36"/>
      <c r="AA25" s="35"/>
      <c r="AB25" s="35"/>
      <c r="AC25" s="35"/>
      <c r="AD25" s="35"/>
      <c r="AE25" s="35"/>
      <c r="AF25" s="35"/>
      <c r="AG25" s="35"/>
    </row>
    <row r="26" spans="1:34" x14ac:dyDescent="0.25">
      <c r="A26" s="5"/>
      <c r="B26" s="14"/>
      <c r="C26" s="14"/>
      <c r="D26" s="6"/>
      <c r="E26" s="6"/>
      <c r="F26" s="25"/>
      <c r="G26" s="25"/>
      <c r="H26" s="25"/>
      <c r="I26" s="25"/>
      <c r="J26" s="25"/>
      <c r="K26" s="25"/>
      <c r="L26" s="25"/>
      <c r="M26" s="28"/>
      <c r="N26" s="28"/>
      <c r="O26" s="28"/>
      <c r="P26" s="28"/>
      <c r="Q26" s="28"/>
      <c r="R26" s="28"/>
      <c r="S26" s="28"/>
      <c r="T26" s="28"/>
      <c r="U26" s="28"/>
      <c r="V26" s="25"/>
      <c r="W26" s="28"/>
      <c r="X26" s="35"/>
      <c r="Y26" s="35"/>
      <c r="Z26" s="36"/>
      <c r="AA26" s="35"/>
      <c r="AB26" s="35"/>
      <c r="AC26" s="35"/>
      <c r="AD26" s="35"/>
      <c r="AE26" s="35"/>
      <c r="AF26" s="35"/>
      <c r="AG26" s="35"/>
    </row>
    <row r="27" spans="1:34" x14ac:dyDescent="0.25">
      <c r="A27" s="5"/>
      <c r="B27" s="14"/>
      <c r="C27" s="14"/>
      <c r="D27" s="6"/>
      <c r="E27" s="6"/>
      <c r="F27" s="25"/>
      <c r="G27" s="25"/>
      <c r="H27" s="25"/>
      <c r="I27" s="25"/>
      <c r="J27" s="25"/>
      <c r="K27" s="25"/>
      <c r="L27" s="25"/>
      <c r="M27" s="28"/>
      <c r="N27" s="28"/>
      <c r="O27" s="28"/>
      <c r="P27" s="28"/>
      <c r="Q27" s="28"/>
      <c r="R27" s="28"/>
      <c r="S27" s="28"/>
      <c r="T27" s="28"/>
      <c r="U27" s="28"/>
      <c r="V27" s="25"/>
      <c r="W27" s="28"/>
      <c r="X27" s="35"/>
      <c r="Y27" s="35"/>
      <c r="Z27" s="36"/>
      <c r="AA27" s="35"/>
      <c r="AB27" s="35"/>
      <c r="AC27" s="35"/>
      <c r="AD27" s="35"/>
      <c r="AE27" s="35"/>
      <c r="AF27" s="35"/>
      <c r="AG27" s="35"/>
    </row>
    <row r="28" spans="1:34" x14ac:dyDescent="0.25">
      <c r="A28" s="5"/>
      <c r="B28" s="14"/>
      <c r="C28" s="14"/>
      <c r="D28" s="6"/>
      <c r="E28" s="6"/>
      <c r="F28" s="25"/>
      <c r="G28" s="25"/>
      <c r="H28" s="25"/>
      <c r="I28" s="25"/>
      <c r="J28" s="25"/>
      <c r="K28" s="25"/>
      <c r="L28" s="25"/>
      <c r="M28" s="28"/>
      <c r="N28" s="28"/>
      <c r="O28" s="28"/>
      <c r="P28" s="28"/>
      <c r="Q28" s="28"/>
      <c r="R28" s="28"/>
      <c r="S28" s="28"/>
      <c r="T28" s="28"/>
      <c r="U28" s="28"/>
      <c r="V28" s="25"/>
      <c r="W28" s="28"/>
      <c r="X28" s="35"/>
      <c r="Y28" s="35"/>
      <c r="Z28" s="36"/>
      <c r="AA28" s="35"/>
      <c r="AB28" s="35"/>
      <c r="AC28" s="35"/>
      <c r="AD28" s="35"/>
      <c r="AE28" s="35"/>
      <c r="AF28" s="35"/>
      <c r="AG28" s="35"/>
    </row>
    <row r="29" spans="1:34" x14ac:dyDescent="0.25">
      <c r="A29" s="5"/>
      <c r="B29" s="14"/>
      <c r="C29" s="14"/>
      <c r="D29" s="6"/>
      <c r="E29" s="6"/>
      <c r="F29" s="25"/>
      <c r="G29" s="25"/>
      <c r="H29" s="25"/>
      <c r="I29" s="25"/>
      <c r="J29" s="25"/>
      <c r="K29" s="25"/>
      <c r="L29" s="25"/>
      <c r="M29" s="28"/>
      <c r="N29" s="28"/>
      <c r="O29" s="28"/>
      <c r="P29" s="28"/>
      <c r="Q29" s="28"/>
      <c r="R29" s="28"/>
      <c r="S29" s="28"/>
      <c r="T29" s="28"/>
      <c r="U29" s="28"/>
      <c r="V29" s="25"/>
      <c r="W29" s="28"/>
      <c r="X29" s="35"/>
      <c r="Y29" s="35"/>
      <c r="Z29" s="36"/>
      <c r="AA29" s="35"/>
      <c r="AB29" s="35"/>
      <c r="AC29" s="35"/>
      <c r="AD29" s="35"/>
      <c r="AE29" s="35"/>
      <c r="AF29" s="35"/>
      <c r="AG29" s="35"/>
    </row>
    <row r="30" spans="1:34" x14ac:dyDescent="0.25">
      <c r="A30" s="5"/>
      <c r="B30" s="14"/>
      <c r="C30" s="14"/>
      <c r="D30" s="6"/>
      <c r="E30" s="6"/>
      <c r="F30" s="25"/>
      <c r="G30" s="25"/>
      <c r="H30" s="25"/>
      <c r="I30" s="25"/>
      <c r="J30" s="25"/>
      <c r="K30" s="25"/>
      <c r="L30" s="25"/>
      <c r="M30" s="28"/>
      <c r="N30" s="28"/>
      <c r="O30" s="28"/>
      <c r="P30" s="28"/>
      <c r="Q30" s="28"/>
      <c r="R30" s="28"/>
      <c r="S30" s="28"/>
      <c r="T30" s="28"/>
      <c r="U30" s="28"/>
      <c r="V30" s="25"/>
      <c r="W30" s="28"/>
      <c r="X30" s="35"/>
      <c r="Y30" s="35"/>
      <c r="Z30" s="36"/>
      <c r="AA30" s="35"/>
      <c r="AB30" s="35"/>
      <c r="AC30" s="35"/>
      <c r="AD30" s="35"/>
      <c r="AE30" s="35"/>
      <c r="AF30" s="35"/>
      <c r="AG30" s="35"/>
    </row>
    <row r="31" spans="1:34" x14ac:dyDescent="0.25">
      <c r="A31" s="5"/>
      <c r="B31" s="14"/>
      <c r="C31" s="14"/>
      <c r="D31" s="6"/>
      <c r="E31" s="6"/>
      <c r="F31" s="25"/>
      <c r="G31" s="25"/>
      <c r="H31" s="25"/>
      <c r="I31" s="25"/>
      <c r="J31" s="25"/>
      <c r="K31" s="25"/>
      <c r="L31" s="25"/>
      <c r="M31" s="28"/>
      <c r="N31" s="28"/>
      <c r="O31" s="28"/>
      <c r="P31" s="28"/>
      <c r="Q31" s="28"/>
      <c r="R31" s="28"/>
      <c r="S31" s="28"/>
      <c r="T31" s="28"/>
      <c r="U31" s="28"/>
      <c r="V31" s="25"/>
      <c r="W31" s="28"/>
      <c r="X31" s="35"/>
      <c r="Y31" s="35"/>
      <c r="Z31" s="36"/>
      <c r="AA31" s="35"/>
      <c r="AB31" s="35"/>
      <c r="AC31" s="35"/>
      <c r="AD31" s="35"/>
      <c r="AE31" s="35"/>
      <c r="AF31" s="35"/>
      <c r="AG31" s="35"/>
    </row>
    <row r="32" spans="1:34" x14ac:dyDescent="0.25">
      <c r="A32" s="5"/>
      <c r="B32" s="14"/>
      <c r="C32" s="14"/>
      <c r="D32" s="6"/>
      <c r="E32" s="6"/>
      <c r="F32" s="25"/>
      <c r="G32" s="25"/>
      <c r="H32" s="25"/>
      <c r="I32" s="25"/>
      <c r="J32" s="25"/>
      <c r="K32" s="25"/>
      <c r="L32" s="25"/>
      <c r="M32" s="28"/>
      <c r="N32" s="28"/>
      <c r="O32" s="28"/>
      <c r="P32" s="28"/>
      <c r="Q32" s="28"/>
      <c r="R32" s="28"/>
      <c r="S32" s="28"/>
      <c r="T32" s="28"/>
      <c r="U32" s="28"/>
      <c r="V32" s="25"/>
      <c r="W32" s="28"/>
      <c r="X32" s="35"/>
      <c r="Y32" s="35"/>
      <c r="Z32" s="36"/>
      <c r="AA32" s="35"/>
      <c r="AB32" s="35"/>
      <c r="AC32" s="35"/>
      <c r="AD32" s="35"/>
      <c r="AE32" s="35"/>
      <c r="AF32" s="35"/>
      <c r="AG32" s="35"/>
    </row>
    <row r="33" spans="1:33" x14ac:dyDescent="0.25">
      <c r="A33" s="5"/>
      <c r="B33" s="14"/>
      <c r="C33" s="14"/>
      <c r="D33" s="6"/>
      <c r="E33" s="6"/>
      <c r="F33" s="25"/>
      <c r="G33" s="25"/>
      <c r="H33" s="25"/>
      <c r="I33" s="25"/>
      <c r="J33" s="25"/>
      <c r="K33" s="25"/>
      <c r="L33" s="25"/>
      <c r="M33" s="28"/>
      <c r="N33" s="28"/>
      <c r="O33" s="28"/>
      <c r="P33" s="28"/>
      <c r="Q33" s="28"/>
      <c r="R33" s="28"/>
      <c r="S33" s="28"/>
      <c r="T33" s="28"/>
      <c r="U33" s="28"/>
      <c r="V33" s="25"/>
      <c r="W33" s="28"/>
      <c r="X33" s="35"/>
      <c r="Y33" s="35"/>
      <c r="Z33" s="36"/>
      <c r="AA33" s="35"/>
      <c r="AB33" s="35"/>
      <c r="AC33" s="35"/>
      <c r="AD33" s="35"/>
      <c r="AE33" s="35"/>
      <c r="AF33" s="35"/>
      <c r="AG33" s="35"/>
    </row>
    <row r="34" spans="1:33" x14ac:dyDescent="0.25">
      <c r="A34" s="5"/>
      <c r="B34" s="14"/>
      <c r="C34" s="14"/>
      <c r="D34" s="6"/>
      <c r="E34" s="6"/>
      <c r="F34" s="25"/>
      <c r="G34" s="25"/>
      <c r="H34" s="25"/>
      <c r="I34" s="25"/>
      <c r="J34" s="25"/>
      <c r="K34" s="25"/>
      <c r="L34" s="25"/>
      <c r="M34" s="28"/>
      <c r="N34" s="28"/>
      <c r="O34" s="28"/>
      <c r="P34" s="28"/>
      <c r="Q34" s="28"/>
      <c r="R34" s="28"/>
      <c r="S34" s="28"/>
      <c r="T34" s="28"/>
      <c r="U34" s="28"/>
      <c r="V34" s="25"/>
      <c r="W34" s="28"/>
      <c r="X34" s="35"/>
      <c r="Y34" s="35"/>
      <c r="Z34" s="36"/>
      <c r="AA34" s="35"/>
      <c r="AB34" s="35"/>
      <c r="AC34" s="35"/>
      <c r="AD34" s="35"/>
      <c r="AE34" s="35"/>
      <c r="AF34" s="35"/>
      <c r="AG34" s="35"/>
    </row>
    <row r="35" spans="1:33" x14ac:dyDescent="0.25">
      <c r="A35" s="5"/>
      <c r="B35" s="14"/>
      <c r="C35" s="14"/>
      <c r="D35" s="6"/>
      <c r="E35" s="6"/>
      <c r="F35" s="25"/>
      <c r="G35" s="25"/>
      <c r="H35" s="25"/>
      <c r="I35" s="25"/>
      <c r="J35" s="25"/>
      <c r="K35" s="25"/>
      <c r="L35" s="25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35"/>
      <c r="Y35" s="35"/>
      <c r="Z35" s="36"/>
      <c r="AA35" s="35"/>
      <c r="AB35" s="35"/>
      <c r="AC35" s="35"/>
      <c r="AD35" s="35"/>
      <c r="AE35" s="35"/>
      <c r="AF35" s="35"/>
      <c r="AG35" s="35"/>
    </row>
    <row r="36" spans="1:33" x14ac:dyDescent="0.25">
      <c r="A36" s="5"/>
      <c r="B36" s="14"/>
      <c r="C36" s="14"/>
      <c r="D36" s="6"/>
      <c r="E36" s="6"/>
      <c r="F36" s="25"/>
      <c r="G36" s="25"/>
      <c r="H36" s="25"/>
      <c r="I36" s="25"/>
      <c r="J36" s="25"/>
      <c r="K36" s="25"/>
      <c r="L36" s="25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35"/>
      <c r="Y36" s="35"/>
      <c r="Z36" s="36"/>
      <c r="AA36" s="35"/>
      <c r="AB36" s="35"/>
      <c r="AC36" s="35"/>
      <c r="AD36" s="35"/>
      <c r="AE36" s="35"/>
      <c r="AF36" s="35"/>
      <c r="AG36" s="35"/>
    </row>
    <row r="37" spans="1:33" x14ac:dyDescent="0.25">
      <c r="A37" s="5"/>
      <c r="B37" s="14"/>
      <c r="C37" s="14"/>
      <c r="D37" s="6"/>
      <c r="E37" s="6"/>
      <c r="F37" s="25"/>
      <c r="G37" s="25"/>
      <c r="H37" s="25"/>
      <c r="I37" s="25"/>
      <c r="J37" s="25"/>
      <c r="K37" s="25"/>
      <c r="L37" s="25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5"/>
      <c r="Y37" s="35"/>
      <c r="Z37" s="36"/>
      <c r="AA37" s="35"/>
      <c r="AB37" s="35"/>
      <c r="AC37" s="35"/>
      <c r="AD37" s="35"/>
      <c r="AE37" s="35"/>
      <c r="AF37" s="35"/>
      <c r="AG37" s="35"/>
    </row>
    <row r="38" spans="1:33" x14ac:dyDescent="0.25">
      <c r="A38" s="5"/>
      <c r="B38" s="14"/>
      <c r="C38" s="14"/>
      <c r="D38" s="6"/>
      <c r="E38" s="6"/>
      <c r="F38" s="25"/>
      <c r="G38" s="25"/>
      <c r="H38" s="25"/>
      <c r="I38" s="25"/>
      <c r="J38" s="25"/>
      <c r="K38" s="25"/>
      <c r="L38" s="25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35"/>
      <c r="Y38" s="35"/>
      <c r="Z38" s="36"/>
      <c r="AA38" s="35"/>
      <c r="AB38" s="35"/>
      <c r="AC38" s="35"/>
      <c r="AD38" s="35"/>
      <c r="AE38" s="35"/>
      <c r="AF38" s="35"/>
      <c r="AG38" s="35"/>
    </row>
    <row r="39" spans="1:33" x14ac:dyDescent="0.25">
      <c r="A39" s="5"/>
      <c r="B39" s="14"/>
      <c r="C39" s="14"/>
      <c r="D39" s="6"/>
      <c r="E39" s="6"/>
      <c r="F39" s="25"/>
      <c r="G39" s="25"/>
      <c r="H39" s="25"/>
      <c r="I39" s="25"/>
      <c r="J39" s="25"/>
      <c r="K39" s="25"/>
      <c r="L39" s="25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35"/>
      <c r="Y39" s="35"/>
      <c r="Z39" s="36"/>
      <c r="AA39" s="35"/>
      <c r="AB39" s="35"/>
      <c r="AC39" s="35"/>
      <c r="AD39" s="35"/>
      <c r="AE39" s="35"/>
      <c r="AF39" s="35"/>
      <c r="AG39" s="35"/>
    </row>
    <row r="40" spans="1:33" x14ac:dyDescent="0.25">
      <c r="A40" s="5"/>
      <c r="B40" s="14"/>
      <c r="C40" s="14"/>
      <c r="D40" s="6"/>
      <c r="E40" s="6"/>
      <c r="F40" s="25"/>
      <c r="G40" s="25"/>
      <c r="H40" s="25"/>
      <c r="I40" s="25"/>
      <c r="J40" s="25"/>
      <c r="K40" s="25"/>
      <c r="L40" s="25"/>
      <c r="M40" s="28"/>
      <c r="N40" s="28"/>
      <c r="O40" s="28"/>
      <c r="P40" s="28"/>
      <c r="Q40" s="28"/>
      <c r="R40" s="28"/>
      <c r="S40" s="28"/>
      <c r="T40" s="28"/>
      <c r="U40" s="28"/>
      <c r="V40" s="25"/>
      <c r="W40" s="28"/>
      <c r="X40" s="35"/>
      <c r="Y40" s="35"/>
      <c r="Z40" s="36"/>
      <c r="AA40" s="35"/>
      <c r="AB40" s="35"/>
      <c r="AC40" s="35"/>
      <c r="AD40" s="35"/>
      <c r="AE40" s="35"/>
      <c r="AF40" s="35"/>
      <c r="AG40" s="35"/>
    </row>
    <row r="41" spans="1:33" x14ac:dyDescent="0.25">
      <c r="A41" s="5"/>
      <c r="B41" s="14"/>
      <c r="C41" s="14"/>
      <c r="D41" s="6"/>
      <c r="E41" s="6"/>
      <c r="F41" s="25"/>
      <c r="G41" s="25"/>
      <c r="H41" s="25"/>
      <c r="I41" s="25"/>
      <c r="J41" s="25"/>
      <c r="K41" s="25"/>
      <c r="L41" s="25"/>
      <c r="M41" s="28"/>
      <c r="N41" s="28"/>
      <c r="O41" s="28"/>
      <c r="P41" s="28"/>
      <c r="Q41" s="28"/>
      <c r="R41" s="28"/>
      <c r="S41" s="28"/>
      <c r="T41" s="28"/>
      <c r="U41" s="28"/>
      <c r="V41" s="25"/>
      <c r="W41" s="28"/>
      <c r="X41" s="35"/>
      <c r="Y41" s="35"/>
      <c r="Z41" s="36"/>
      <c r="AA41" s="35"/>
      <c r="AB41" s="35"/>
      <c r="AC41" s="35"/>
      <c r="AD41" s="35"/>
      <c r="AE41" s="35"/>
      <c r="AF41" s="35"/>
      <c r="AG41" s="35"/>
    </row>
    <row r="42" spans="1:33" x14ac:dyDescent="0.25">
      <c r="A42" s="5"/>
      <c r="B42" s="14"/>
      <c r="C42" s="14"/>
      <c r="D42" s="6"/>
      <c r="E42" s="6"/>
      <c r="F42" s="25"/>
      <c r="G42" s="25"/>
      <c r="H42" s="25"/>
      <c r="I42" s="25"/>
      <c r="J42" s="25"/>
      <c r="K42" s="25"/>
      <c r="L42" s="25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35"/>
      <c r="Y42" s="35"/>
      <c r="Z42" s="36"/>
      <c r="AA42" s="35"/>
      <c r="AB42" s="35"/>
      <c r="AC42" s="35"/>
      <c r="AD42" s="35"/>
      <c r="AE42" s="35"/>
      <c r="AF42" s="35"/>
      <c r="AG42" s="35"/>
    </row>
    <row r="43" spans="1:33" x14ac:dyDescent="0.25">
      <c r="A43" s="5"/>
      <c r="B43" s="14"/>
      <c r="C43" s="14"/>
      <c r="D43" s="6"/>
      <c r="E43" s="6"/>
      <c r="F43" s="25"/>
      <c r="G43" s="25"/>
      <c r="H43" s="25"/>
      <c r="I43" s="25"/>
      <c r="J43" s="25"/>
      <c r="K43" s="25"/>
      <c r="L43" s="25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35"/>
      <c r="Y43" s="35"/>
      <c r="Z43" s="36"/>
      <c r="AA43" s="35"/>
      <c r="AB43" s="35"/>
      <c r="AC43" s="35"/>
      <c r="AD43" s="35"/>
      <c r="AE43" s="35"/>
      <c r="AF43" s="35"/>
      <c r="AG43" s="35"/>
    </row>
    <row r="44" spans="1:33" x14ac:dyDescent="0.25">
      <c r="A44" s="5"/>
      <c r="B44" s="14"/>
      <c r="C44" s="14"/>
      <c r="D44" s="6"/>
      <c r="E44" s="6"/>
      <c r="F44" s="25"/>
      <c r="G44" s="25"/>
      <c r="H44" s="25"/>
      <c r="I44" s="25"/>
      <c r="J44" s="25"/>
      <c r="K44" s="25"/>
      <c r="L44" s="25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35"/>
      <c r="Y44" s="35"/>
      <c r="Z44" s="36"/>
      <c r="AA44" s="35"/>
      <c r="AB44" s="35"/>
      <c r="AC44" s="35"/>
      <c r="AD44" s="35"/>
      <c r="AE44" s="35"/>
      <c r="AF44" s="35"/>
      <c r="AG44" s="35"/>
    </row>
    <row r="45" spans="1:33" x14ac:dyDescent="0.25">
      <c r="A45" s="5"/>
      <c r="B45" s="14"/>
      <c r="C45" s="14"/>
      <c r="D45" s="6"/>
      <c r="E45" s="6"/>
      <c r="F45" s="25"/>
      <c r="G45" s="25"/>
      <c r="H45" s="25"/>
      <c r="I45" s="25"/>
      <c r="J45" s="25"/>
      <c r="K45" s="25"/>
      <c r="L45" s="25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35"/>
      <c r="Y45" s="35"/>
      <c r="Z45" s="36"/>
      <c r="AA45" s="35"/>
      <c r="AB45" s="35"/>
      <c r="AC45" s="35"/>
      <c r="AD45" s="35"/>
      <c r="AE45" s="35"/>
      <c r="AF45" s="35"/>
      <c r="AG45" s="35"/>
    </row>
    <row r="46" spans="1:33" x14ac:dyDescent="0.25">
      <c r="A46" s="5"/>
      <c r="B46" s="14"/>
      <c r="C46" s="14"/>
      <c r="D46" s="6"/>
      <c r="E46" s="6"/>
      <c r="F46" s="25"/>
      <c r="G46" s="25"/>
      <c r="H46" s="25"/>
      <c r="I46" s="25"/>
      <c r="J46" s="25"/>
      <c r="K46" s="25"/>
      <c r="L46" s="25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35"/>
      <c r="Y46" s="35"/>
      <c r="Z46" s="36"/>
      <c r="AA46" s="35"/>
      <c r="AB46" s="35"/>
      <c r="AC46" s="35"/>
      <c r="AD46" s="35"/>
      <c r="AE46" s="35"/>
      <c r="AF46" s="35"/>
      <c r="AG46" s="35"/>
    </row>
    <row r="47" spans="1:33" x14ac:dyDescent="0.25">
      <c r="A47" s="5"/>
      <c r="B47" s="14"/>
      <c r="C47" s="14"/>
      <c r="D47" s="6"/>
      <c r="E47" s="6"/>
      <c r="F47" s="25"/>
      <c r="G47" s="25"/>
      <c r="H47" s="25"/>
      <c r="I47" s="25"/>
      <c r="J47" s="25"/>
      <c r="K47" s="25"/>
      <c r="L47" s="25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35"/>
      <c r="Y47" s="35"/>
      <c r="Z47" s="36"/>
      <c r="AA47" s="35"/>
      <c r="AB47" s="35"/>
      <c r="AC47" s="35"/>
      <c r="AD47" s="35"/>
      <c r="AE47" s="35"/>
      <c r="AF47" s="35"/>
      <c r="AG47" s="35"/>
    </row>
    <row r="48" spans="1:33" x14ac:dyDescent="0.25">
      <c r="A48" s="5"/>
      <c r="B48" s="14"/>
      <c r="C48" s="14"/>
      <c r="D48" s="6"/>
      <c r="E48" s="6"/>
      <c r="F48" s="25"/>
      <c r="G48" s="25"/>
      <c r="H48" s="25"/>
      <c r="I48" s="25"/>
      <c r="J48" s="25"/>
      <c r="K48" s="25"/>
      <c r="L48" s="25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35"/>
      <c r="Y48" s="35"/>
      <c r="Z48" s="36"/>
      <c r="AA48" s="35"/>
      <c r="AB48" s="35"/>
      <c r="AC48" s="35"/>
      <c r="AD48" s="35"/>
      <c r="AE48" s="35"/>
      <c r="AF48" s="35"/>
      <c r="AG48" s="35"/>
    </row>
    <row r="49" spans="1:33" x14ac:dyDescent="0.25">
      <c r="A49" s="5"/>
      <c r="B49" s="14"/>
      <c r="C49" s="14"/>
      <c r="D49" s="6"/>
      <c r="E49" s="6"/>
      <c r="F49" s="25"/>
      <c r="G49" s="25"/>
      <c r="H49" s="25"/>
      <c r="I49" s="25"/>
      <c r="J49" s="25"/>
      <c r="K49" s="25"/>
      <c r="L49" s="25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35"/>
      <c r="Y49" s="35"/>
      <c r="Z49" s="36"/>
      <c r="AA49" s="35"/>
      <c r="AB49" s="35"/>
      <c r="AC49" s="35"/>
      <c r="AD49" s="35"/>
      <c r="AE49" s="35"/>
      <c r="AF49" s="35"/>
      <c r="AG49" s="35"/>
    </row>
    <row r="50" spans="1:33" x14ac:dyDescent="0.25">
      <c r="A50" s="5"/>
      <c r="B50" s="14"/>
      <c r="C50" s="14"/>
      <c r="D50" s="6"/>
      <c r="E50" s="6"/>
      <c r="F50" s="25"/>
      <c r="G50" s="25"/>
      <c r="H50" s="25"/>
      <c r="I50" s="25"/>
      <c r="J50" s="25"/>
      <c r="K50" s="25"/>
      <c r="L50" s="25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5"/>
      <c r="Y50" s="35"/>
      <c r="Z50" s="36"/>
      <c r="AA50" s="35"/>
      <c r="AB50" s="35"/>
      <c r="AC50" s="35"/>
      <c r="AD50" s="35"/>
      <c r="AE50" s="35"/>
      <c r="AF50" s="35"/>
      <c r="AG50" s="35"/>
    </row>
    <row r="51" spans="1:33" x14ac:dyDescent="0.25">
      <c r="A51" s="5"/>
      <c r="B51" s="14"/>
      <c r="C51" s="14"/>
      <c r="D51" s="6"/>
      <c r="E51" s="6"/>
      <c r="F51" s="25"/>
      <c r="G51" s="25"/>
      <c r="H51" s="25"/>
      <c r="I51" s="25"/>
      <c r="J51" s="25"/>
      <c r="K51" s="25"/>
      <c r="L51" s="25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5"/>
      <c r="Y51" s="35"/>
      <c r="Z51" s="36"/>
      <c r="AA51" s="35"/>
      <c r="AB51" s="35"/>
      <c r="AC51" s="35"/>
      <c r="AD51" s="35"/>
      <c r="AE51" s="35"/>
      <c r="AF51" s="35"/>
      <c r="AG51" s="35"/>
    </row>
    <row r="52" spans="1:33" x14ac:dyDescent="0.25">
      <c r="A52" s="5"/>
      <c r="B52" s="14"/>
      <c r="C52" s="14"/>
      <c r="D52" s="6"/>
      <c r="E52" s="6"/>
      <c r="F52" s="25"/>
      <c r="G52" s="25"/>
      <c r="H52" s="25"/>
      <c r="I52" s="25"/>
      <c r="J52" s="25"/>
      <c r="K52" s="25"/>
      <c r="L52" s="25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35"/>
      <c r="Y52" s="35"/>
      <c r="Z52" s="36"/>
      <c r="AA52" s="35"/>
      <c r="AB52" s="35"/>
      <c r="AC52" s="35"/>
      <c r="AD52" s="35"/>
      <c r="AE52" s="35"/>
      <c r="AF52" s="35"/>
      <c r="AG52" s="35"/>
    </row>
    <row r="53" spans="1:33" x14ac:dyDescent="0.25">
      <c r="A53" s="5"/>
      <c r="B53" s="14"/>
      <c r="C53" s="14"/>
      <c r="D53" s="6"/>
      <c r="E53" s="6"/>
      <c r="F53" s="25"/>
      <c r="G53" s="25"/>
      <c r="H53" s="25"/>
      <c r="I53" s="25"/>
      <c r="J53" s="25"/>
      <c r="K53" s="25"/>
      <c r="L53" s="25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35"/>
      <c r="Y53" s="35"/>
      <c r="Z53" s="36"/>
      <c r="AA53" s="35"/>
      <c r="AB53" s="35"/>
      <c r="AC53" s="35"/>
      <c r="AD53" s="35"/>
      <c r="AE53" s="35"/>
      <c r="AF53" s="35"/>
      <c r="AG53" s="35"/>
    </row>
    <row r="54" spans="1:33" x14ac:dyDescent="0.25">
      <c r="A54" s="5"/>
      <c r="B54" s="14"/>
      <c r="C54" s="14"/>
      <c r="D54" s="6"/>
      <c r="E54" s="6"/>
      <c r="F54" s="25"/>
      <c r="G54" s="25"/>
      <c r="H54" s="25"/>
      <c r="I54" s="25"/>
      <c r="J54" s="25"/>
      <c r="K54" s="25"/>
      <c r="L54" s="25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35"/>
      <c r="Y54" s="35"/>
      <c r="Z54" s="36"/>
      <c r="AA54" s="35"/>
      <c r="AB54" s="35"/>
      <c r="AC54" s="35"/>
      <c r="AD54" s="35"/>
      <c r="AE54" s="35"/>
      <c r="AF54" s="35"/>
      <c r="AG54" s="35"/>
    </row>
    <row r="55" spans="1:33" x14ac:dyDescent="0.25">
      <c r="A55" s="5"/>
      <c r="B55" s="14"/>
      <c r="C55" s="14"/>
      <c r="D55" s="6"/>
      <c r="E55" s="6"/>
      <c r="F55" s="25"/>
      <c r="G55" s="25"/>
      <c r="H55" s="25"/>
      <c r="I55" s="25"/>
      <c r="J55" s="25"/>
      <c r="K55" s="25"/>
      <c r="L55" s="25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35"/>
      <c r="Y55" s="35"/>
      <c r="Z55" s="36"/>
      <c r="AA55" s="35"/>
      <c r="AB55" s="35"/>
      <c r="AC55" s="35"/>
      <c r="AD55" s="35"/>
      <c r="AE55" s="35"/>
      <c r="AF55" s="35"/>
      <c r="AG55" s="35"/>
    </row>
    <row r="56" spans="1:33" x14ac:dyDescent="0.25">
      <c r="A56" s="5"/>
      <c r="B56" s="14"/>
      <c r="C56" s="14"/>
      <c r="D56" s="6"/>
      <c r="E56" s="6"/>
      <c r="F56" s="25"/>
      <c r="G56" s="25"/>
      <c r="H56" s="25"/>
      <c r="I56" s="25"/>
      <c r="J56" s="25"/>
      <c r="K56" s="25"/>
      <c r="L56" s="25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35"/>
      <c r="Y56" s="35"/>
      <c r="Z56" s="36"/>
      <c r="AA56" s="35"/>
      <c r="AB56" s="35"/>
      <c r="AC56" s="35"/>
      <c r="AD56" s="35"/>
      <c r="AE56" s="35"/>
      <c r="AF56" s="35"/>
      <c r="AG56" s="35"/>
    </row>
    <row r="57" spans="1:33" x14ac:dyDescent="0.25">
      <c r="A57" s="5"/>
      <c r="B57" s="14"/>
      <c r="C57" s="14"/>
      <c r="D57" s="6"/>
      <c r="E57" s="6"/>
      <c r="F57" s="25"/>
      <c r="G57" s="25"/>
      <c r="H57" s="25"/>
      <c r="I57" s="25"/>
      <c r="J57" s="25"/>
      <c r="K57" s="25"/>
      <c r="L57" s="25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35"/>
      <c r="Y57" s="35"/>
      <c r="Z57" s="36"/>
      <c r="AA57" s="35"/>
      <c r="AB57" s="35"/>
      <c r="AC57" s="35"/>
      <c r="AD57" s="35"/>
      <c r="AE57" s="35"/>
      <c r="AF57" s="35"/>
      <c r="AG57" s="35"/>
    </row>
    <row r="58" spans="1:33" x14ac:dyDescent="0.25">
      <c r="A58" s="5"/>
      <c r="B58" s="14"/>
      <c r="C58" s="14"/>
      <c r="D58" s="6"/>
      <c r="E58" s="6"/>
      <c r="F58" s="25"/>
      <c r="G58" s="25"/>
      <c r="H58" s="25"/>
      <c r="I58" s="25"/>
      <c r="J58" s="25"/>
      <c r="K58" s="25"/>
      <c r="L58" s="25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35"/>
      <c r="Y58" s="35"/>
      <c r="Z58" s="36"/>
      <c r="AA58" s="35"/>
      <c r="AB58" s="35"/>
      <c r="AC58" s="35"/>
      <c r="AD58" s="35"/>
      <c r="AE58" s="35"/>
      <c r="AF58" s="35"/>
      <c r="AG58" s="35"/>
    </row>
    <row r="59" spans="1:33" x14ac:dyDescent="0.25">
      <c r="A59" s="5"/>
      <c r="B59" s="14"/>
      <c r="C59" s="14"/>
      <c r="D59" s="6"/>
      <c r="E59" s="6"/>
      <c r="F59" s="25"/>
      <c r="G59" s="25"/>
      <c r="H59" s="25"/>
      <c r="I59" s="25"/>
      <c r="J59" s="25"/>
      <c r="K59" s="25"/>
      <c r="L59" s="25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35"/>
      <c r="Y59" s="35"/>
      <c r="Z59" s="36"/>
      <c r="AA59" s="35"/>
      <c r="AB59" s="35"/>
      <c r="AC59" s="35"/>
      <c r="AD59" s="35"/>
      <c r="AE59" s="35"/>
      <c r="AF59" s="35"/>
      <c r="AG59" s="35"/>
    </row>
    <row r="60" spans="1:33" x14ac:dyDescent="0.25">
      <c r="A60" s="5"/>
      <c r="B60" s="14"/>
      <c r="C60" s="14"/>
      <c r="D60" s="6"/>
      <c r="E60" s="6"/>
      <c r="F60" s="25"/>
      <c r="G60" s="25"/>
      <c r="H60" s="25"/>
      <c r="I60" s="25"/>
      <c r="J60" s="25"/>
      <c r="K60" s="25"/>
      <c r="L60" s="25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35"/>
      <c r="Y60" s="35"/>
      <c r="Z60" s="36"/>
      <c r="AA60" s="35"/>
      <c r="AB60" s="35"/>
      <c r="AC60" s="35"/>
      <c r="AD60" s="35"/>
      <c r="AE60" s="35"/>
      <c r="AF60" s="35"/>
      <c r="AG60" s="35"/>
    </row>
    <row r="61" spans="1:33" x14ac:dyDescent="0.25">
      <c r="A61" s="5"/>
      <c r="B61" s="14"/>
      <c r="C61" s="14"/>
      <c r="D61" s="6"/>
      <c r="E61" s="6"/>
      <c r="F61" s="25"/>
      <c r="G61" s="25"/>
      <c r="H61" s="25"/>
      <c r="I61" s="25"/>
      <c r="J61" s="25"/>
      <c r="K61" s="25"/>
      <c r="L61" s="25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35"/>
      <c r="Y61" s="35"/>
      <c r="Z61" s="36"/>
      <c r="AA61" s="35"/>
      <c r="AB61" s="35"/>
      <c r="AC61" s="35"/>
      <c r="AD61" s="35"/>
      <c r="AE61" s="35"/>
      <c r="AF61" s="35"/>
      <c r="AG61" s="35"/>
    </row>
    <row r="62" spans="1:33" x14ac:dyDescent="0.25">
      <c r="A62" s="5"/>
      <c r="B62" s="14"/>
      <c r="C62" s="14"/>
      <c r="D62" s="6"/>
      <c r="E62" s="6"/>
      <c r="F62" s="25"/>
      <c r="G62" s="25"/>
      <c r="H62" s="25"/>
      <c r="I62" s="25"/>
      <c r="J62" s="25"/>
      <c r="K62" s="25"/>
      <c r="L62" s="25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35"/>
      <c r="Y62" s="35"/>
      <c r="Z62" s="36"/>
      <c r="AA62" s="35"/>
      <c r="AB62" s="35"/>
      <c r="AC62" s="35"/>
      <c r="AD62" s="35"/>
      <c r="AE62" s="35"/>
      <c r="AF62" s="35"/>
      <c r="AG62" s="35"/>
    </row>
    <row r="63" spans="1:33" x14ac:dyDescent="0.25">
      <c r="A63" s="5"/>
      <c r="B63" s="14"/>
      <c r="C63" s="14"/>
      <c r="D63" s="6"/>
      <c r="E63" s="6"/>
      <c r="F63" s="25"/>
      <c r="G63" s="25"/>
      <c r="H63" s="25"/>
      <c r="I63" s="25"/>
      <c r="J63" s="25"/>
      <c r="K63" s="25"/>
      <c r="L63" s="25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35"/>
      <c r="Y63" s="35"/>
      <c r="Z63" s="36"/>
      <c r="AA63" s="35"/>
      <c r="AB63" s="35"/>
      <c r="AC63" s="35"/>
      <c r="AD63" s="35"/>
      <c r="AE63" s="35"/>
      <c r="AF63" s="35"/>
      <c r="AG63" s="35"/>
    </row>
    <row r="64" spans="1:33" x14ac:dyDescent="0.25">
      <c r="A64" s="5"/>
      <c r="B64" s="14"/>
      <c r="C64" s="14"/>
      <c r="D64" s="6"/>
      <c r="E64" s="6"/>
      <c r="F64" s="25"/>
      <c r="G64" s="25"/>
      <c r="H64" s="25"/>
      <c r="I64" s="25"/>
      <c r="J64" s="25"/>
      <c r="K64" s="25"/>
      <c r="L64" s="25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35"/>
      <c r="Y64" s="35"/>
      <c r="Z64" s="36"/>
      <c r="AA64" s="35"/>
      <c r="AB64" s="35"/>
      <c r="AC64" s="35"/>
      <c r="AD64" s="35"/>
      <c r="AE64" s="35"/>
      <c r="AF64" s="35"/>
      <c r="AG64" s="35"/>
    </row>
    <row r="65" spans="1:33" x14ac:dyDescent="0.25">
      <c r="A65" s="5"/>
      <c r="B65" s="14"/>
      <c r="C65" s="14"/>
      <c r="D65" s="6"/>
      <c r="E65" s="6"/>
      <c r="F65" s="25"/>
      <c r="G65" s="25"/>
      <c r="H65" s="25"/>
      <c r="I65" s="25"/>
      <c r="J65" s="25"/>
      <c r="K65" s="25"/>
      <c r="L65" s="25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35"/>
      <c r="Y65" s="35"/>
      <c r="Z65" s="36"/>
      <c r="AA65" s="35"/>
      <c r="AB65" s="35"/>
      <c r="AC65" s="35"/>
      <c r="AD65" s="35"/>
      <c r="AE65" s="35"/>
      <c r="AF65" s="35"/>
      <c r="AG65" s="35"/>
    </row>
    <row r="66" spans="1:33" x14ac:dyDescent="0.25">
      <c r="A66" s="5"/>
      <c r="B66" s="14"/>
      <c r="C66" s="14"/>
      <c r="D66" s="6"/>
      <c r="E66" s="6"/>
      <c r="F66" s="25"/>
      <c r="G66" s="25"/>
      <c r="H66" s="25"/>
      <c r="I66" s="25"/>
      <c r="J66" s="25"/>
      <c r="K66" s="25"/>
      <c r="L66" s="25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35"/>
      <c r="Y66" s="35"/>
      <c r="Z66" s="36"/>
      <c r="AA66" s="35"/>
      <c r="AB66" s="35"/>
      <c r="AC66" s="35"/>
      <c r="AD66" s="35"/>
      <c r="AE66" s="35"/>
      <c r="AF66" s="35"/>
      <c r="AG66" s="35"/>
    </row>
    <row r="67" spans="1:33" x14ac:dyDescent="0.25">
      <c r="A67" s="5"/>
      <c r="B67" s="14"/>
      <c r="C67" s="14"/>
      <c r="D67" s="6"/>
      <c r="E67" s="6"/>
      <c r="F67" s="25"/>
      <c r="G67" s="25"/>
      <c r="H67" s="25"/>
      <c r="I67" s="25"/>
      <c r="J67" s="25"/>
      <c r="K67" s="25"/>
      <c r="L67" s="25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35"/>
      <c r="Y67" s="35"/>
      <c r="Z67" s="36"/>
      <c r="AA67" s="35"/>
      <c r="AB67" s="35"/>
      <c r="AC67" s="35"/>
      <c r="AD67" s="35"/>
      <c r="AE67" s="35"/>
      <c r="AF67" s="35"/>
      <c r="AG67" s="35"/>
    </row>
    <row r="68" spans="1:33" x14ac:dyDescent="0.25">
      <c r="A68" s="5"/>
      <c r="B68" s="14"/>
      <c r="C68" s="14"/>
      <c r="D68" s="6"/>
      <c r="E68" s="6"/>
      <c r="F68" s="25"/>
      <c r="G68" s="25"/>
      <c r="H68" s="25"/>
      <c r="I68" s="25"/>
      <c r="J68" s="25"/>
      <c r="K68" s="25"/>
      <c r="L68" s="25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35"/>
      <c r="Y68" s="35"/>
      <c r="Z68" s="36"/>
      <c r="AA68" s="35"/>
      <c r="AB68" s="35"/>
      <c r="AC68" s="35"/>
      <c r="AD68" s="35"/>
      <c r="AE68" s="35"/>
      <c r="AF68" s="35"/>
      <c r="AG68" s="35"/>
    </row>
    <row r="69" spans="1:33" x14ac:dyDescent="0.25">
      <c r="A69" s="5"/>
      <c r="B69" s="14"/>
      <c r="C69" s="14"/>
      <c r="D69" s="6"/>
      <c r="E69" s="6"/>
      <c r="F69" s="25"/>
      <c r="G69" s="25"/>
      <c r="H69" s="25"/>
      <c r="I69" s="25"/>
      <c r="J69" s="25"/>
      <c r="K69" s="25"/>
      <c r="L69" s="25"/>
      <c r="M69" s="28"/>
      <c r="N69" s="28"/>
      <c r="O69" s="28"/>
      <c r="P69" s="28"/>
      <c r="Q69" s="28"/>
      <c r="R69" s="28"/>
      <c r="S69" s="28"/>
      <c r="T69" s="28"/>
      <c r="U69" s="28"/>
      <c r="V69" s="25"/>
      <c r="W69" s="28"/>
      <c r="X69" s="35"/>
      <c r="Y69" s="35"/>
      <c r="Z69" s="36"/>
      <c r="AA69" s="35"/>
      <c r="AB69" s="35"/>
      <c r="AC69" s="35"/>
      <c r="AD69" s="35"/>
      <c r="AE69" s="35"/>
      <c r="AF69" s="35"/>
      <c r="AG69" s="35"/>
    </row>
    <row r="70" spans="1:33" x14ac:dyDescent="0.25">
      <c r="A70" s="5"/>
      <c r="B70" s="14"/>
      <c r="C70" s="14"/>
      <c r="D70" s="6"/>
      <c r="E70" s="6"/>
      <c r="F70" s="25"/>
      <c r="G70" s="25"/>
      <c r="H70" s="25"/>
      <c r="I70" s="25"/>
      <c r="J70" s="25"/>
      <c r="K70" s="25"/>
      <c r="L70" s="25"/>
      <c r="M70" s="28"/>
      <c r="N70" s="28"/>
      <c r="O70" s="28"/>
      <c r="P70" s="28"/>
      <c r="Q70" s="28"/>
      <c r="R70" s="28"/>
      <c r="S70" s="28"/>
      <c r="T70" s="28"/>
      <c r="U70" s="28"/>
      <c r="V70" s="25"/>
      <c r="W70" s="28"/>
      <c r="X70" s="35"/>
      <c r="Y70" s="35"/>
      <c r="Z70" s="36"/>
      <c r="AA70" s="35"/>
      <c r="AB70" s="35"/>
      <c r="AC70" s="35"/>
      <c r="AD70" s="35"/>
      <c r="AE70" s="35"/>
      <c r="AF70" s="35"/>
      <c r="AG70" s="35"/>
    </row>
    <row r="71" spans="1:33" x14ac:dyDescent="0.25">
      <c r="A71" s="5"/>
      <c r="B71" s="14"/>
      <c r="C71" s="14"/>
      <c r="D71" s="6"/>
      <c r="E71" s="6"/>
      <c r="F71" s="25"/>
      <c r="G71" s="25"/>
      <c r="H71" s="25"/>
      <c r="I71" s="25"/>
      <c r="J71" s="25"/>
      <c r="K71" s="25"/>
      <c r="L71" s="25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35"/>
      <c r="Y71" s="35"/>
      <c r="Z71" s="36"/>
      <c r="AA71" s="35"/>
      <c r="AB71" s="35"/>
      <c r="AC71" s="35"/>
      <c r="AD71" s="35"/>
      <c r="AE71" s="35"/>
      <c r="AF71" s="35"/>
      <c r="AG71" s="35"/>
    </row>
    <row r="72" spans="1:33" x14ac:dyDescent="0.25">
      <c r="A72" s="5"/>
      <c r="B72" s="14"/>
      <c r="C72" s="14"/>
      <c r="D72" s="6"/>
      <c r="E72" s="6"/>
      <c r="F72" s="25"/>
      <c r="G72" s="25"/>
      <c r="H72" s="25"/>
      <c r="I72" s="25"/>
      <c r="J72" s="25"/>
      <c r="K72" s="25"/>
      <c r="L72" s="25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35"/>
      <c r="Y72" s="35"/>
      <c r="Z72" s="36"/>
      <c r="AA72" s="35"/>
      <c r="AB72" s="35"/>
      <c r="AC72" s="35"/>
      <c r="AD72" s="35"/>
      <c r="AE72" s="35"/>
      <c r="AF72" s="35"/>
      <c r="AG72" s="35"/>
    </row>
    <row r="73" spans="1:33" x14ac:dyDescent="0.25">
      <c r="A73" s="5"/>
      <c r="B73" s="14"/>
      <c r="C73" s="14"/>
      <c r="D73" s="6"/>
      <c r="E73" s="6"/>
      <c r="F73" s="25"/>
      <c r="G73" s="25"/>
      <c r="H73" s="25"/>
      <c r="I73" s="25"/>
      <c r="J73" s="25"/>
      <c r="K73" s="25"/>
      <c r="L73" s="25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35"/>
      <c r="Y73" s="35"/>
      <c r="Z73" s="36"/>
      <c r="AA73" s="35"/>
      <c r="AB73" s="35"/>
      <c r="AC73" s="35"/>
      <c r="AD73" s="35"/>
      <c r="AE73" s="35"/>
      <c r="AF73" s="35"/>
      <c r="AG73" s="35"/>
    </row>
    <row r="74" spans="1:33" x14ac:dyDescent="0.25">
      <c r="A74" s="5"/>
      <c r="B74" s="14"/>
      <c r="C74" s="14"/>
      <c r="D74" s="6"/>
      <c r="E74" s="6"/>
      <c r="F74" s="25"/>
      <c r="G74" s="25"/>
      <c r="H74" s="25"/>
      <c r="I74" s="25"/>
      <c r="J74" s="25"/>
      <c r="K74" s="25"/>
      <c r="L74" s="25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35"/>
      <c r="Y74" s="35"/>
      <c r="Z74" s="36"/>
      <c r="AA74" s="35"/>
      <c r="AB74" s="35"/>
      <c r="AC74" s="35"/>
      <c r="AD74" s="35"/>
      <c r="AE74" s="35"/>
      <c r="AF74" s="35"/>
      <c r="AG74" s="35"/>
    </row>
    <row r="75" spans="1:33" x14ac:dyDescent="0.25">
      <c r="A75" s="5"/>
      <c r="B75" s="14"/>
      <c r="C75" s="14"/>
      <c r="D75" s="6"/>
      <c r="E75" s="6"/>
      <c r="F75" s="25"/>
      <c r="G75" s="25"/>
      <c r="H75" s="25"/>
      <c r="I75" s="25"/>
      <c r="J75" s="25"/>
      <c r="K75" s="25"/>
      <c r="L75" s="2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35"/>
      <c r="Y75" s="35"/>
      <c r="Z75" s="36"/>
      <c r="AA75" s="35"/>
      <c r="AB75" s="35"/>
      <c r="AC75" s="35"/>
      <c r="AD75" s="35"/>
      <c r="AE75" s="35"/>
      <c r="AF75" s="35"/>
      <c r="AG75" s="35"/>
    </row>
    <row r="76" spans="1:33" x14ac:dyDescent="0.25">
      <c r="A76" s="5"/>
      <c r="B76" s="14"/>
      <c r="C76" s="14"/>
      <c r="D76" s="6"/>
      <c r="E76" s="6"/>
      <c r="F76" s="25"/>
      <c r="G76" s="25"/>
      <c r="H76" s="25"/>
      <c r="I76" s="25"/>
      <c r="J76" s="25"/>
      <c r="K76" s="25"/>
      <c r="L76" s="25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35"/>
      <c r="Y76" s="35"/>
      <c r="Z76" s="36"/>
      <c r="AA76" s="35"/>
      <c r="AB76" s="35"/>
      <c r="AC76" s="35"/>
      <c r="AD76" s="35"/>
      <c r="AE76" s="35"/>
      <c r="AF76" s="35"/>
      <c r="AG76" s="35"/>
    </row>
    <row r="77" spans="1:33" x14ac:dyDescent="0.25">
      <c r="A77" s="5"/>
      <c r="B77" s="14"/>
      <c r="C77" s="14"/>
      <c r="D77" s="6"/>
      <c r="E77" s="6"/>
      <c r="F77" s="25"/>
      <c r="G77" s="25"/>
      <c r="H77" s="25"/>
      <c r="I77" s="25"/>
      <c r="J77" s="25"/>
      <c r="K77" s="25"/>
      <c r="L77" s="25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35"/>
      <c r="Y77" s="35"/>
      <c r="Z77" s="36"/>
      <c r="AA77" s="35"/>
      <c r="AB77" s="35"/>
      <c r="AC77" s="35"/>
      <c r="AD77" s="35"/>
      <c r="AE77" s="35"/>
      <c r="AF77" s="35"/>
      <c r="AG77" s="35"/>
    </row>
    <row r="78" spans="1:33" x14ac:dyDescent="0.25">
      <c r="A78" s="5"/>
      <c r="B78" s="14"/>
      <c r="C78" s="14"/>
      <c r="D78" s="6"/>
      <c r="E78" s="6"/>
      <c r="F78" s="25"/>
      <c r="G78" s="25"/>
      <c r="H78" s="25"/>
      <c r="I78" s="25"/>
      <c r="J78" s="25"/>
      <c r="K78" s="25"/>
      <c r="L78" s="25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35"/>
      <c r="Y78" s="35"/>
      <c r="Z78" s="36"/>
      <c r="AA78" s="35"/>
      <c r="AB78" s="35"/>
      <c r="AC78" s="35"/>
      <c r="AD78" s="35"/>
      <c r="AE78" s="35"/>
      <c r="AF78" s="35"/>
      <c r="AG78" s="35"/>
    </row>
    <row r="79" spans="1:33" x14ac:dyDescent="0.25">
      <c r="A79" s="5"/>
      <c r="B79" s="14"/>
      <c r="C79" s="14"/>
      <c r="D79" s="6"/>
      <c r="E79" s="6"/>
      <c r="F79" s="25"/>
      <c r="G79" s="25"/>
      <c r="H79" s="25"/>
      <c r="I79" s="25"/>
      <c r="J79" s="25"/>
      <c r="K79" s="25"/>
      <c r="L79" s="25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35"/>
      <c r="Y79" s="35"/>
      <c r="Z79" s="36"/>
      <c r="AA79" s="35"/>
      <c r="AB79" s="35"/>
      <c r="AC79" s="35"/>
      <c r="AD79" s="35"/>
      <c r="AE79" s="35"/>
      <c r="AF79" s="35"/>
      <c r="AG79" s="35"/>
    </row>
    <row r="80" spans="1:33" x14ac:dyDescent="0.25">
      <c r="A80" s="5"/>
      <c r="B80" s="14"/>
      <c r="C80" s="14"/>
      <c r="D80" s="6"/>
      <c r="E80" s="6"/>
      <c r="F80" s="25"/>
      <c r="G80" s="25"/>
      <c r="H80" s="25"/>
      <c r="I80" s="25"/>
      <c r="J80" s="25"/>
      <c r="K80" s="25"/>
      <c r="L80" s="25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35"/>
      <c r="Y80" s="35"/>
      <c r="Z80" s="36"/>
      <c r="AA80" s="35"/>
      <c r="AB80" s="35"/>
      <c r="AC80" s="35"/>
      <c r="AD80" s="35"/>
      <c r="AE80" s="35"/>
      <c r="AF80" s="35"/>
      <c r="AG80" s="35"/>
    </row>
    <row r="81" spans="1:33" x14ac:dyDescent="0.25">
      <c r="A81" s="5"/>
      <c r="B81" s="14"/>
      <c r="C81" s="14"/>
      <c r="D81" s="6"/>
      <c r="E81" s="6"/>
      <c r="F81" s="25"/>
      <c r="G81" s="25"/>
      <c r="H81" s="25"/>
      <c r="I81" s="25"/>
      <c r="J81" s="25"/>
      <c r="K81" s="25"/>
      <c r="L81" s="25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35"/>
      <c r="Y81" s="35"/>
      <c r="Z81" s="36"/>
      <c r="AA81" s="35"/>
      <c r="AB81" s="35"/>
      <c r="AC81" s="35"/>
      <c r="AD81" s="35"/>
      <c r="AE81" s="35"/>
      <c r="AF81" s="35"/>
      <c r="AG81" s="35"/>
    </row>
    <row r="82" spans="1:33" x14ac:dyDescent="0.25">
      <c r="A82" s="5"/>
      <c r="B82" s="14"/>
      <c r="C82" s="14"/>
      <c r="D82" s="6"/>
      <c r="E82" s="6"/>
      <c r="F82" s="25"/>
      <c r="G82" s="25"/>
      <c r="H82" s="25"/>
      <c r="I82" s="25"/>
      <c r="J82" s="25"/>
      <c r="K82" s="25"/>
      <c r="L82" s="25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35"/>
      <c r="Y82" s="35"/>
      <c r="Z82" s="36"/>
      <c r="AA82" s="35"/>
      <c r="AB82" s="35"/>
      <c r="AC82" s="35"/>
      <c r="AD82" s="35"/>
      <c r="AE82" s="35"/>
      <c r="AF82" s="35"/>
      <c r="AG82" s="35"/>
    </row>
    <row r="83" spans="1:33" x14ac:dyDescent="0.25">
      <c r="A83" s="5"/>
      <c r="B83" s="14"/>
      <c r="C83" s="14"/>
      <c r="D83" s="6"/>
      <c r="E83" s="6"/>
      <c r="F83" s="25"/>
      <c r="G83" s="25"/>
      <c r="H83" s="25"/>
      <c r="I83" s="25"/>
      <c r="J83" s="25"/>
      <c r="K83" s="25"/>
      <c r="L83" s="25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35"/>
      <c r="Y83" s="35"/>
      <c r="Z83" s="36"/>
      <c r="AA83" s="35"/>
      <c r="AB83" s="35"/>
      <c r="AC83" s="35"/>
      <c r="AD83" s="35"/>
      <c r="AE83" s="35"/>
      <c r="AF83" s="35"/>
      <c r="AG83" s="35"/>
    </row>
    <row r="84" spans="1:33" x14ac:dyDescent="0.25">
      <c r="A84" s="5"/>
      <c r="B84" s="14"/>
      <c r="C84" s="14"/>
      <c r="D84" s="6"/>
      <c r="E84" s="6"/>
      <c r="F84" s="25"/>
      <c r="G84" s="25"/>
      <c r="H84" s="25"/>
      <c r="I84" s="25"/>
      <c r="J84" s="25"/>
      <c r="K84" s="25"/>
      <c r="L84" s="25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35"/>
      <c r="Y84" s="35"/>
      <c r="Z84" s="36"/>
      <c r="AA84" s="35"/>
      <c r="AB84" s="35"/>
      <c r="AC84" s="35"/>
      <c r="AD84" s="35"/>
      <c r="AE84" s="35"/>
      <c r="AF84" s="35"/>
      <c r="AG84" s="35"/>
    </row>
    <row r="85" spans="1:33" x14ac:dyDescent="0.25">
      <c r="A85" s="5"/>
      <c r="B85" s="14"/>
      <c r="C85" s="14"/>
      <c r="D85" s="6"/>
      <c r="E85" s="6"/>
      <c r="F85" s="25"/>
      <c r="G85" s="25"/>
      <c r="H85" s="25"/>
      <c r="I85" s="25"/>
      <c r="J85" s="25"/>
      <c r="K85" s="25"/>
      <c r="L85" s="25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35"/>
      <c r="Y85" s="35"/>
      <c r="Z85" s="36"/>
      <c r="AA85" s="35"/>
      <c r="AB85" s="35"/>
      <c r="AC85" s="35"/>
      <c r="AD85" s="35"/>
      <c r="AE85" s="35"/>
      <c r="AF85" s="35"/>
      <c r="AG85" s="35"/>
    </row>
    <row r="86" spans="1:33" x14ac:dyDescent="0.25">
      <c r="A86" s="5"/>
      <c r="B86" s="14"/>
      <c r="C86" s="14"/>
      <c r="D86" s="6"/>
      <c r="E86" s="6"/>
      <c r="F86" s="25"/>
      <c r="G86" s="25"/>
      <c r="H86" s="25"/>
      <c r="I86" s="25"/>
      <c r="J86" s="25"/>
      <c r="K86" s="25"/>
      <c r="L86" s="25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35"/>
      <c r="Y86" s="35"/>
      <c r="Z86" s="36"/>
      <c r="AA86" s="35"/>
      <c r="AB86" s="35"/>
      <c r="AC86" s="35"/>
      <c r="AD86" s="35"/>
      <c r="AE86" s="35"/>
      <c r="AF86" s="35"/>
      <c r="AG86" s="35"/>
    </row>
    <row r="87" spans="1:33" x14ac:dyDescent="0.25">
      <c r="A87" s="5"/>
      <c r="B87" s="14"/>
      <c r="C87" s="14"/>
      <c r="D87" s="6"/>
      <c r="E87" s="6"/>
      <c r="F87" s="25"/>
      <c r="G87" s="25"/>
      <c r="H87" s="25"/>
      <c r="I87" s="25"/>
      <c r="J87" s="25"/>
      <c r="K87" s="25"/>
      <c r="L87" s="25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35"/>
      <c r="Y87" s="35"/>
      <c r="Z87" s="36"/>
      <c r="AA87" s="35"/>
      <c r="AB87" s="35"/>
      <c r="AC87" s="35"/>
      <c r="AD87" s="35"/>
      <c r="AE87" s="35"/>
      <c r="AF87" s="35"/>
      <c r="AG87" s="35"/>
    </row>
    <row r="88" spans="1:33" x14ac:dyDescent="0.25">
      <c r="A88" s="5"/>
      <c r="B88" s="14"/>
      <c r="C88" s="14"/>
      <c r="D88" s="6"/>
      <c r="E88" s="6"/>
      <c r="F88" s="25"/>
      <c r="G88" s="25"/>
      <c r="H88" s="25"/>
      <c r="I88" s="25"/>
      <c r="J88" s="25"/>
      <c r="K88" s="25"/>
      <c r="L88" s="25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35"/>
      <c r="Y88" s="35"/>
      <c r="Z88" s="36"/>
      <c r="AA88" s="35"/>
      <c r="AB88" s="35"/>
      <c r="AC88" s="35"/>
      <c r="AD88" s="35"/>
      <c r="AE88" s="35"/>
      <c r="AF88" s="35"/>
      <c r="AG88" s="35"/>
    </row>
    <row r="89" spans="1:33" x14ac:dyDescent="0.25">
      <c r="A89" s="5"/>
      <c r="B89" s="14"/>
      <c r="C89" s="14"/>
      <c r="D89" s="6"/>
      <c r="E89" s="6"/>
      <c r="F89" s="25"/>
      <c r="G89" s="25"/>
      <c r="H89" s="25"/>
      <c r="I89" s="25"/>
      <c r="J89" s="25"/>
      <c r="K89" s="25"/>
      <c r="L89" s="25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35"/>
      <c r="Y89" s="35"/>
      <c r="Z89" s="36"/>
      <c r="AA89" s="35"/>
      <c r="AB89" s="35"/>
      <c r="AC89" s="35"/>
      <c r="AD89" s="35"/>
      <c r="AE89" s="35"/>
      <c r="AF89" s="35"/>
      <c r="AG89" s="35"/>
    </row>
    <row r="90" spans="1:33" x14ac:dyDescent="0.25">
      <c r="A90" s="5"/>
      <c r="B90" s="14"/>
      <c r="C90" s="14"/>
      <c r="D90" s="6"/>
      <c r="E90" s="6"/>
      <c r="F90" s="25"/>
      <c r="G90" s="25"/>
      <c r="H90" s="25"/>
      <c r="I90" s="25"/>
      <c r="J90" s="25"/>
      <c r="K90" s="25"/>
      <c r="L90" s="25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35"/>
      <c r="Y90" s="35"/>
      <c r="Z90" s="36"/>
      <c r="AA90" s="35"/>
      <c r="AB90" s="35"/>
      <c r="AC90" s="35"/>
      <c r="AD90" s="35"/>
      <c r="AE90" s="35"/>
      <c r="AF90" s="35"/>
      <c r="AG90" s="35"/>
    </row>
    <row r="91" spans="1:33" x14ac:dyDescent="0.25">
      <c r="A91" s="5"/>
      <c r="B91" s="14"/>
      <c r="C91" s="14"/>
      <c r="D91" s="6"/>
      <c r="E91" s="6"/>
      <c r="F91" s="25"/>
      <c r="G91" s="25"/>
      <c r="H91" s="25"/>
      <c r="I91" s="25"/>
      <c r="J91" s="25"/>
      <c r="K91" s="25"/>
      <c r="L91" s="25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35"/>
      <c r="Y91" s="35"/>
      <c r="Z91" s="36"/>
      <c r="AA91" s="35"/>
      <c r="AB91" s="35"/>
      <c r="AC91" s="35"/>
      <c r="AD91" s="35"/>
      <c r="AE91" s="35"/>
      <c r="AF91" s="35"/>
      <c r="AG91" s="35"/>
    </row>
    <row r="92" spans="1:33" x14ac:dyDescent="0.25">
      <c r="A92" s="5"/>
      <c r="B92" s="14"/>
      <c r="C92" s="14"/>
      <c r="D92" s="6"/>
      <c r="E92" s="6"/>
      <c r="F92" s="25"/>
      <c r="G92" s="25"/>
      <c r="H92" s="25"/>
      <c r="I92" s="25"/>
      <c r="J92" s="25"/>
      <c r="K92" s="25"/>
      <c r="L92" s="25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35"/>
      <c r="Y92" s="35"/>
      <c r="Z92" s="36"/>
      <c r="AA92" s="35"/>
      <c r="AB92" s="35"/>
      <c r="AC92" s="35"/>
      <c r="AD92" s="35"/>
      <c r="AE92" s="35"/>
      <c r="AF92" s="35"/>
      <c r="AG92" s="35"/>
    </row>
    <row r="93" spans="1:33" x14ac:dyDescent="0.25">
      <c r="A93" s="5"/>
      <c r="B93" s="14"/>
      <c r="C93" s="14"/>
      <c r="D93" s="6"/>
      <c r="E93" s="6"/>
      <c r="F93" s="25"/>
      <c r="G93" s="25"/>
      <c r="H93" s="25"/>
      <c r="I93" s="25"/>
      <c r="J93" s="25"/>
      <c r="K93" s="25"/>
      <c r="L93" s="25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35"/>
      <c r="Y93" s="35"/>
      <c r="Z93" s="36"/>
      <c r="AA93" s="35"/>
      <c r="AB93" s="35"/>
      <c r="AC93" s="35"/>
      <c r="AD93" s="35"/>
      <c r="AE93" s="35"/>
      <c r="AF93" s="35"/>
      <c r="AG93" s="35"/>
    </row>
    <row r="94" spans="1:33" x14ac:dyDescent="0.25">
      <c r="A94" s="5"/>
      <c r="B94" s="14"/>
      <c r="C94" s="14"/>
      <c r="D94" s="6"/>
      <c r="E94" s="6"/>
      <c r="F94" s="25"/>
      <c r="G94" s="25"/>
      <c r="H94" s="25"/>
      <c r="I94" s="25"/>
      <c r="J94" s="25"/>
      <c r="K94" s="25"/>
      <c r="L94" s="25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35"/>
      <c r="Y94" s="35"/>
      <c r="Z94" s="36"/>
      <c r="AA94" s="35"/>
      <c r="AB94" s="35"/>
      <c r="AC94" s="35"/>
      <c r="AD94" s="35"/>
      <c r="AE94" s="35"/>
      <c r="AF94" s="35"/>
      <c r="AG94" s="35"/>
    </row>
    <row r="95" spans="1:33" x14ac:dyDescent="0.25">
      <c r="A95" s="5"/>
      <c r="B95" s="14"/>
      <c r="C95" s="14"/>
      <c r="D95" s="6"/>
      <c r="E95" s="6"/>
      <c r="F95" s="25"/>
      <c r="G95" s="25"/>
      <c r="H95" s="25"/>
      <c r="I95" s="25"/>
      <c r="J95" s="25"/>
      <c r="K95" s="25"/>
      <c r="L95" s="25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35"/>
      <c r="Y95" s="35"/>
      <c r="Z95" s="36"/>
      <c r="AA95" s="35"/>
      <c r="AB95" s="35"/>
      <c r="AC95" s="35"/>
      <c r="AD95" s="35"/>
      <c r="AE95" s="35"/>
      <c r="AF95" s="35"/>
      <c r="AG95" s="35"/>
    </row>
    <row r="96" spans="1:33" x14ac:dyDescent="0.25">
      <c r="A96" s="5"/>
      <c r="B96" s="14"/>
      <c r="C96" s="14"/>
      <c r="D96" s="6"/>
      <c r="E96" s="6"/>
      <c r="F96" s="25"/>
      <c r="G96" s="25"/>
      <c r="H96" s="25"/>
      <c r="I96" s="25"/>
      <c r="J96" s="25"/>
      <c r="K96" s="25"/>
      <c r="L96" s="25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35"/>
      <c r="Y96" s="35"/>
      <c r="Z96" s="36"/>
      <c r="AA96" s="35"/>
      <c r="AB96" s="35"/>
      <c r="AC96" s="35"/>
      <c r="AD96" s="35"/>
      <c r="AE96" s="35"/>
      <c r="AF96" s="35"/>
      <c r="AG96" s="35"/>
    </row>
    <row r="97" spans="1:33" x14ac:dyDescent="0.25">
      <c r="A97" s="5"/>
      <c r="B97" s="14"/>
      <c r="C97" s="14"/>
      <c r="D97" s="6"/>
      <c r="E97" s="6"/>
      <c r="F97" s="25"/>
      <c r="G97" s="25"/>
      <c r="H97" s="25"/>
      <c r="I97" s="25"/>
      <c r="J97" s="25"/>
      <c r="K97" s="25"/>
      <c r="L97" s="25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35"/>
      <c r="Y97" s="35"/>
      <c r="Z97" s="36"/>
      <c r="AA97" s="35"/>
      <c r="AB97" s="35"/>
      <c r="AC97" s="35"/>
      <c r="AD97" s="35"/>
      <c r="AE97" s="35"/>
      <c r="AF97" s="35"/>
      <c r="AG97" s="35"/>
    </row>
    <row r="98" spans="1:33" x14ac:dyDescent="0.25">
      <c r="A98" s="5"/>
      <c r="B98" s="14"/>
      <c r="C98" s="14"/>
      <c r="D98" s="6"/>
      <c r="E98" s="6"/>
      <c r="F98" s="25"/>
      <c r="G98" s="25"/>
      <c r="H98" s="25"/>
      <c r="I98" s="25"/>
      <c r="J98" s="25"/>
      <c r="K98" s="25"/>
      <c r="L98" s="25"/>
      <c r="M98" s="28"/>
      <c r="N98" s="28"/>
      <c r="O98" s="28"/>
      <c r="P98" s="28"/>
      <c r="Q98" s="28"/>
      <c r="R98" s="28"/>
      <c r="S98" s="28"/>
      <c r="T98" s="28"/>
      <c r="U98" s="28"/>
      <c r="V98" s="25"/>
      <c r="W98" s="28"/>
      <c r="X98" s="35"/>
      <c r="Y98" s="35"/>
      <c r="Z98" s="36"/>
      <c r="AA98" s="35"/>
      <c r="AB98" s="35"/>
      <c r="AC98" s="35"/>
      <c r="AD98" s="35"/>
      <c r="AE98" s="35"/>
      <c r="AF98" s="35"/>
      <c r="AG98" s="35"/>
    </row>
    <row r="99" spans="1:33" x14ac:dyDescent="0.25">
      <c r="A99" s="5"/>
      <c r="B99" s="14"/>
      <c r="C99" s="14"/>
      <c r="D99" s="6"/>
      <c r="E99" s="6"/>
      <c r="F99" s="25"/>
      <c r="G99" s="25"/>
      <c r="H99" s="25"/>
      <c r="I99" s="25"/>
      <c r="J99" s="25"/>
      <c r="K99" s="25"/>
      <c r="L99" s="25"/>
      <c r="M99" s="28"/>
      <c r="N99" s="28"/>
      <c r="O99" s="28"/>
      <c r="P99" s="28"/>
      <c r="Q99" s="28"/>
      <c r="R99" s="28"/>
      <c r="S99" s="28"/>
      <c r="T99" s="28"/>
      <c r="U99" s="28"/>
      <c r="V99" s="25"/>
      <c r="W99" s="28"/>
      <c r="X99" s="35"/>
      <c r="Y99" s="35"/>
      <c r="Z99" s="36"/>
      <c r="AA99" s="35"/>
      <c r="AB99" s="35"/>
      <c r="AC99" s="35"/>
      <c r="AD99" s="35"/>
      <c r="AE99" s="35"/>
      <c r="AF99" s="35"/>
      <c r="AG99" s="35"/>
    </row>
    <row r="100" spans="1:33" x14ac:dyDescent="0.25">
      <c r="A100" s="5"/>
      <c r="B100" s="14"/>
      <c r="C100" s="14"/>
      <c r="D100" s="6"/>
      <c r="E100" s="6"/>
      <c r="F100" s="25"/>
      <c r="G100" s="25"/>
      <c r="H100" s="25"/>
      <c r="I100" s="25"/>
      <c r="J100" s="25"/>
      <c r="K100" s="25"/>
      <c r="L100" s="25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35"/>
      <c r="Y100" s="35"/>
      <c r="Z100" s="36"/>
      <c r="AA100" s="35"/>
      <c r="AB100" s="35"/>
      <c r="AC100" s="35"/>
      <c r="AD100" s="35"/>
      <c r="AE100" s="35"/>
      <c r="AF100" s="35"/>
      <c r="AG100" s="35"/>
    </row>
    <row r="101" spans="1:33" x14ac:dyDescent="0.25">
      <c r="A101" s="5"/>
      <c r="B101" s="14"/>
      <c r="C101" s="14"/>
      <c r="D101" s="6"/>
      <c r="E101" s="6"/>
      <c r="F101" s="25"/>
      <c r="G101" s="25"/>
      <c r="H101" s="25"/>
      <c r="I101" s="25"/>
      <c r="J101" s="25"/>
      <c r="K101" s="25"/>
      <c r="L101" s="25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35"/>
      <c r="Y101" s="35"/>
      <c r="Z101" s="36"/>
      <c r="AA101" s="35"/>
      <c r="AB101" s="35"/>
      <c r="AC101" s="35"/>
      <c r="AD101" s="35"/>
      <c r="AE101" s="35"/>
      <c r="AF101" s="35"/>
      <c r="AG101" s="35"/>
    </row>
    <row r="102" spans="1:33" x14ac:dyDescent="0.25">
      <c r="A102" s="5"/>
      <c r="B102" s="14"/>
      <c r="C102" s="14"/>
      <c r="D102" s="6"/>
      <c r="E102" s="6"/>
      <c r="F102" s="25"/>
      <c r="G102" s="25"/>
      <c r="H102" s="25"/>
      <c r="I102" s="25"/>
      <c r="J102" s="25"/>
      <c r="K102" s="25"/>
      <c r="L102" s="25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35"/>
      <c r="Y102" s="35"/>
      <c r="Z102" s="36"/>
      <c r="AA102" s="35"/>
      <c r="AB102" s="35"/>
      <c r="AC102" s="35"/>
      <c r="AD102" s="35"/>
      <c r="AE102" s="35"/>
      <c r="AF102" s="35"/>
      <c r="AG102" s="35"/>
    </row>
    <row r="103" spans="1:33" x14ac:dyDescent="0.25">
      <c r="A103" s="5"/>
      <c r="B103" s="14"/>
      <c r="C103" s="14"/>
      <c r="D103" s="6"/>
      <c r="E103" s="6"/>
      <c r="F103" s="25"/>
      <c r="G103" s="25"/>
      <c r="H103" s="25"/>
      <c r="I103" s="25"/>
      <c r="J103" s="25"/>
      <c r="K103" s="25"/>
      <c r="L103" s="25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35"/>
      <c r="Y103" s="35"/>
      <c r="Z103" s="36"/>
      <c r="AA103" s="35"/>
      <c r="AB103" s="35"/>
      <c r="AC103" s="35"/>
      <c r="AD103" s="35"/>
      <c r="AE103" s="35"/>
      <c r="AF103" s="35"/>
      <c r="AG103" s="35"/>
    </row>
    <row r="104" spans="1:33" x14ac:dyDescent="0.25">
      <c r="A104" s="5"/>
      <c r="B104" s="14"/>
      <c r="C104" s="14"/>
      <c r="D104" s="6"/>
      <c r="E104" s="6"/>
      <c r="F104" s="25"/>
      <c r="G104" s="25"/>
      <c r="H104" s="25"/>
      <c r="I104" s="25"/>
      <c r="J104" s="25"/>
      <c r="K104" s="25"/>
      <c r="L104" s="25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35"/>
      <c r="Y104" s="35"/>
      <c r="Z104" s="36"/>
      <c r="AA104" s="35"/>
      <c r="AB104" s="35"/>
      <c r="AC104" s="35"/>
      <c r="AD104" s="35"/>
      <c r="AE104" s="35"/>
      <c r="AF104" s="35"/>
      <c r="AG104" s="35"/>
    </row>
    <row r="105" spans="1:33" x14ac:dyDescent="0.25">
      <c r="A105" s="5"/>
      <c r="B105" s="14"/>
      <c r="C105" s="14"/>
      <c r="D105" s="6"/>
      <c r="E105" s="6"/>
      <c r="F105" s="25"/>
      <c r="G105" s="25"/>
      <c r="H105" s="25"/>
      <c r="I105" s="25"/>
      <c r="J105" s="25"/>
      <c r="K105" s="25"/>
      <c r="L105" s="25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35"/>
      <c r="Y105" s="35"/>
      <c r="Z105" s="36"/>
      <c r="AA105" s="35"/>
      <c r="AB105" s="35"/>
      <c r="AC105" s="35"/>
      <c r="AD105" s="35"/>
      <c r="AE105" s="35"/>
      <c r="AF105" s="35"/>
      <c r="AG105" s="35"/>
    </row>
    <row r="106" spans="1:33" x14ac:dyDescent="0.25">
      <c r="A106" s="5"/>
      <c r="B106" s="14"/>
      <c r="C106" s="14"/>
      <c r="D106" s="6"/>
      <c r="E106" s="6"/>
      <c r="F106" s="25"/>
      <c r="G106" s="25"/>
      <c r="H106" s="25"/>
      <c r="I106" s="25"/>
      <c r="J106" s="25"/>
      <c r="K106" s="25"/>
      <c r="L106" s="25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35"/>
      <c r="Y106" s="35"/>
      <c r="Z106" s="36"/>
      <c r="AA106" s="35"/>
      <c r="AB106" s="35"/>
      <c r="AC106" s="35"/>
      <c r="AD106" s="35"/>
      <c r="AE106" s="35"/>
      <c r="AF106" s="35"/>
      <c r="AG106" s="35"/>
    </row>
    <row r="107" spans="1:33" x14ac:dyDescent="0.25">
      <c r="A107" s="5"/>
      <c r="B107" s="14"/>
      <c r="C107" s="14"/>
      <c r="D107" s="6"/>
      <c r="E107" s="6"/>
      <c r="F107" s="25"/>
      <c r="G107" s="25"/>
      <c r="H107" s="25"/>
      <c r="I107" s="25"/>
      <c r="J107" s="25"/>
      <c r="K107" s="25"/>
      <c r="L107" s="25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35"/>
      <c r="Y107" s="35"/>
      <c r="Z107" s="36"/>
      <c r="AA107" s="35"/>
      <c r="AB107" s="35"/>
      <c r="AC107" s="35"/>
      <c r="AD107" s="35"/>
      <c r="AE107" s="35"/>
      <c r="AF107" s="35"/>
      <c r="AG107" s="35"/>
    </row>
    <row r="108" spans="1:33" x14ac:dyDescent="0.25">
      <c r="A108" s="5"/>
      <c r="B108" s="14"/>
      <c r="C108" s="14"/>
      <c r="D108" s="6"/>
      <c r="E108" s="6"/>
      <c r="F108" s="25"/>
      <c r="G108" s="25"/>
      <c r="H108" s="25"/>
      <c r="I108" s="25"/>
      <c r="J108" s="25"/>
      <c r="K108" s="25"/>
      <c r="L108" s="25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35"/>
      <c r="Y108" s="35"/>
      <c r="Z108" s="36"/>
      <c r="AA108" s="35"/>
      <c r="AB108" s="35"/>
      <c r="AC108" s="35"/>
      <c r="AD108" s="35"/>
      <c r="AE108" s="35"/>
      <c r="AF108" s="35"/>
      <c r="AG108" s="35"/>
    </row>
    <row r="109" spans="1:33" x14ac:dyDescent="0.25">
      <c r="A109" s="5"/>
      <c r="B109" s="14"/>
      <c r="C109" s="14"/>
      <c r="D109" s="6"/>
      <c r="E109" s="6"/>
      <c r="F109" s="25"/>
      <c r="G109" s="25"/>
      <c r="H109" s="25"/>
      <c r="I109" s="25"/>
      <c r="J109" s="25"/>
      <c r="K109" s="25"/>
      <c r="L109" s="25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35"/>
      <c r="Y109" s="35"/>
      <c r="Z109" s="36"/>
      <c r="AA109" s="35"/>
      <c r="AB109" s="35"/>
      <c r="AC109" s="35"/>
      <c r="AD109" s="35"/>
      <c r="AE109" s="35"/>
      <c r="AF109" s="35"/>
      <c r="AG109" s="35"/>
    </row>
    <row r="110" spans="1:33" x14ac:dyDescent="0.25">
      <c r="A110" s="5"/>
      <c r="B110" s="14"/>
      <c r="C110" s="14"/>
      <c r="D110" s="6"/>
      <c r="E110" s="6"/>
      <c r="F110" s="25"/>
      <c r="G110" s="25"/>
      <c r="H110" s="25"/>
      <c r="I110" s="25"/>
      <c r="J110" s="25"/>
      <c r="K110" s="25"/>
      <c r="L110" s="25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35"/>
      <c r="Y110" s="35"/>
      <c r="Z110" s="36"/>
      <c r="AA110" s="35"/>
      <c r="AB110" s="35"/>
      <c r="AC110" s="35"/>
      <c r="AD110" s="35"/>
      <c r="AE110" s="35"/>
      <c r="AF110" s="35"/>
      <c r="AG110" s="35"/>
    </row>
    <row r="111" spans="1:33" x14ac:dyDescent="0.25">
      <c r="A111" s="5"/>
      <c r="B111" s="14"/>
      <c r="C111" s="14"/>
      <c r="D111" s="6"/>
      <c r="E111" s="6"/>
      <c r="F111" s="25"/>
      <c r="G111" s="25"/>
      <c r="H111" s="25"/>
      <c r="I111" s="25"/>
      <c r="J111" s="25"/>
      <c r="K111" s="25"/>
      <c r="L111" s="25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35"/>
      <c r="Y111" s="35"/>
      <c r="Z111" s="36"/>
      <c r="AA111" s="35"/>
      <c r="AB111" s="35"/>
      <c r="AC111" s="35"/>
      <c r="AD111" s="35"/>
      <c r="AE111" s="35"/>
      <c r="AF111" s="35"/>
      <c r="AG111" s="35"/>
    </row>
    <row r="112" spans="1:33" x14ac:dyDescent="0.25">
      <c r="A112" s="5"/>
      <c r="B112" s="14"/>
      <c r="C112" s="14"/>
      <c r="D112" s="6"/>
      <c r="E112" s="6"/>
      <c r="F112" s="25"/>
      <c r="G112" s="25"/>
      <c r="H112" s="25"/>
      <c r="I112" s="25"/>
      <c r="J112" s="25"/>
      <c r="K112" s="25"/>
      <c r="L112" s="25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35"/>
      <c r="Y112" s="35"/>
      <c r="Z112" s="36"/>
      <c r="AA112" s="35"/>
      <c r="AB112" s="35"/>
      <c r="AC112" s="35"/>
      <c r="AD112" s="35"/>
      <c r="AE112" s="35"/>
      <c r="AF112" s="35"/>
      <c r="AG112" s="35"/>
    </row>
    <row r="113" spans="1:33" x14ac:dyDescent="0.25">
      <c r="A113" s="5"/>
      <c r="B113" s="14"/>
      <c r="C113" s="14"/>
      <c r="D113" s="6"/>
      <c r="E113" s="6"/>
      <c r="F113" s="25"/>
      <c r="G113" s="25"/>
      <c r="H113" s="25"/>
      <c r="I113" s="25"/>
      <c r="J113" s="25"/>
      <c r="K113" s="25"/>
      <c r="L113" s="25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35"/>
      <c r="Y113" s="35"/>
      <c r="Z113" s="36"/>
      <c r="AA113" s="35"/>
      <c r="AB113" s="35"/>
      <c r="AC113" s="35"/>
      <c r="AD113" s="35"/>
      <c r="AE113" s="35"/>
      <c r="AF113" s="35"/>
      <c r="AG113" s="35"/>
    </row>
    <row r="114" spans="1:33" x14ac:dyDescent="0.25">
      <c r="A114" s="5"/>
      <c r="B114" s="14"/>
      <c r="C114" s="14"/>
      <c r="D114" s="6"/>
      <c r="E114" s="6"/>
      <c r="F114" s="25"/>
      <c r="G114" s="25"/>
      <c r="H114" s="25"/>
      <c r="I114" s="25"/>
      <c r="J114" s="25"/>
      <c r="K114" s="25"/>
      <c r="L114" s="25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35"/>
      <c r="Y114" s="35"/>
      <c r="Z114" s="36"/>
      <c r="AA114" s="35"/>
      <c r="AB114" s="35"/>
      <c r="AC114" s="35"/>
      <c r="AD114" s="35"/>
      <c r="AE114" s="35"/>
      <c r="AF114" s="35"/>
      <c r="AG114" s="35"/>
    </row>
    <row r="115" spans="1:33" x14ac:dyDescent="0.25">
      <c r="A115" s="5"/>
      <c r="B115" s="14"/>
      <c r="C115" s="14"/>
      <c r="D115" s="6"/>
      <c r="E115" s="6"/>
      <c r="F115" s="25"/>
      <c r="G115" s="25"/>
      <c r="H115" s="25"/>
      <c r="I115" s="25"/>
      <c r="J115" s="25"/>
      <c r="K115" s="25"/>
      <c r="L115" s="25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35"/>
      <c r="Y115" s="35"/>
      <c r="Z115" s="36"/>
      <c r="AA115" s="35"/>
      <c r="AB115" s="35"/>
      <c r="AC115" s="35"/>
      <c r="AD115" s="35"/>
      <c r="AE115" s="35"/>
      <c r="AF115" s="35"/>
      <c r="AG115" s="35"/>
    </row>
    <row r="116" spans="1:33" x14ac:dyDescent="0.25">
      <c r="A116" s="5"/>
      <c r="B116" s="14"/>
      <c r="C116" s="14"/>
      <c r="D116" s="6"/>
      <c r="E116" s="6"/>
      <c r="F116" s="25"/>
      <c r="G116" s="25"/>
      <c r="H116" s="25"/>
      <c r="I116" s="25"/>
      <c r="J116" s="25"/>
      <c r="K116" s="25"/>
      <c r="L116" s="25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35"/>
      <c r="Y116" s="35"/>
      <c r="Z116" s="36"/>
      <c r="AA116" s="35"/>
      <c r="AB116" s="35"/>
      <c r="AC116" s="35"/>
      <c r="AD116" s="35"/>
      <c r="AE116" s="35"/>
      <c r="AF116" s="35"/>
      <c r="AG116" s="35"/>
    </row>
    <row r="117" spans="1:33" x14ac:dyDescent="0.25">
      <c r="A117" s="5"/>
      <c r="B117" s="14"/>
      <c r="C117" s="14"/>
      <c r="D117" s="6"/>
      <c r="E117" s="6"/>
      <c r="F117" s="25"/>
      <c r="G117" s="25"/>
      <c r="H117" s="25"/>
      <c r="I117" s="25"/>
      <c r="J117" s="25"/>
      <c r="K117" s="25"/>
      <c r="L117" s="25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35"/>
      <c r="Y117" s="35"/>
      <c r="Z117" s="36"/>
      <c r="AA117" s="35"/>
      <c r="AB117" s="35"/>
      <c r="AC117" s="35"/>
      <c r="AD117" s="35"/>
      <c r="AE117" s="35"/>
      <c r="AF117" s="35"/>
      <c r="AG117" s="35"/>
    </row>
    <row r="118" spans="1:33" x14ac:dyDescent="0.25">
      <c r="A118" s="5"/>
      <c r="B118" s="14"/>
      <c r="C118" s="14"/>
      <c r="D118" s="6"/>
      <c r="E118" s="6"/>
      <c r="F118" s="25"/>
      <c r="G118" s="25"/>
      <c r="H118" s="25"/>
      <c r="I118" s="25"/>
      <c r="J118" s="25"/>
      <c r="K118" s="25"/>
      <c r="L118" s="25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35"/>
      <c r="Y118" s="35"/>
      <c r="Z118" s="36"/>
      <c r="AA118" s="35"/>
      <c r="AB118" s="35"/>
      <c r="AC118" s="35"/>
      <c r="AD118" s="35"/>
      <c r="AE118" s="35"/>
      <c r="AF118" s="35"/>
      <c r="AG118" s="35"/>
    </row>
    <row r="119" spans="1:33" x14ac:dyDescent="0.25">
      <c r="A119" s="5"/>
      <c r="B119" s="14"/>
      <c r="C119" s="14"/>
      <c r="D119" s="6"/>
      <c r="E119" s="6"/>
      <c r="F119" s="25"/>
      <c r="G119" s="25"/>
      <c r="H119" s="25"/>
      <c r="I119" s="25"/>
      <c r="J119" s="25"/>
      <c r="K119" s="25"/>
      <c r="L119" s="25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35"/>
      <c r="Y119" s="35"/>
      <c r="Z119" s="36"/>
      <c r="AA119" s="35"/>
      <c r="AB119" s="35"/>
      <c r="AC119" s="35"/>
      <c r="AD119" s="35"/>
      <c r="AE119" s="35"/>
      <c r="AF119" s="35"/>
      <c r="AG119" s="35"/>
    </row>
    <row r="120" spans="1:33" x14ac:dyDescent="0.25">
      <c r="A120" s="5"/>
      <c r="B120" s="14"/>
      <c r="C120" s="14"/>
      <c r="D120" s="6"/>
      <c r="E120" s="6"/>
      <c r="F120" s="25"/>
      <c r="G120" s="25"/>
      <c r="H120" s="25"/>
      <c r="I120" s="25"/>
      <c r="J120" s="25"/>
      <c r="K120" s="25"/>
      <c r="L120" s="25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35"/>
      <c r="Y120" s="35"/>
      <c r="Z120" s="36"/>
      <c r="AA120" s="35"/>
      <c r="AB120" s="35"/>
      <c r="AC120" s="35"/>
      <c r="AD120" s="35"/>
      <c r="AE120" s="35"/>
      <c r="AF120" s="35"/>
      <c r="AG120" s="35"/>
    </row>
    <row r="121" spans="1:33" x14ac:dyDescent="0.25">
      <c r="A121" s="5"/>
      <c r="B121" s="14"/>
      <c r="C121" s="14"/>
      <c r="D121" s="6"/>
      <c r="E121" s="6"/>
      <c r="F121" s="25"/>
      <c r="G121" s="25"/>
      <c r="H121" s="25"/>
      <c r="I121" s="25"/>
      <c r="J121" s="25"/>
      <c r="K121" s="25"/>
      <c r="L121" s="25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35"/>
      <c r="Y121" s="35"/>
      <c r="Z121" s="36"/>
      <c r="AA121" s="35"/>
      <c r="AB121" s="35"/>
      <c r="AC121" s="35"/>
      <c r="AD121" s="35"/>
      <c r="AE121" s="35"/>
      <c r="AF121" s="35"/>
      <c r="AG121" s="35"/>
    </row>
    <row r="122" spans="1:33" x14ac:dyDescent="0.25">
      <c r="A122" s="5"/>
      <c r="B122" s="14"/>
      <c r="C122" s="14"/>
      <c r="D122" s="6"/>
      <c r="E122" s="6"/>
      <c r="F122" s="25"/>
      <c r="G122" s="25"/>
      <c r="H122" s="25"/>
      <c r="I122" s="25"/>
      <c r="J122" s="25"/>
      <c r="K122" s="25"/>
      <c r="L122" s="25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35"/>
      <c r="Y122" s="35"/>
      <c r="Z122" s="36"/>
      <c r="AA122" s="35"/>
      <c r="AB122" s="35"/>
      <c r="AC122" s="35"/>
      <c r="AD122" s="35"/>
      <c r="AE122" s="35"/>
      <c r="AF122" s="35"/>
      <c r="AG122" s="35"/>
    </row>
    <row r="123" spans="1:33" x14ac:dyDescent="0.25">
      <c r="A123" s="5"/>
      <c r="B123" s="14"/>
      <c r="C123" s="14"/>
      <c r="D123" s="6"/>
      <c r="E123" s="6"/>
      <c r="F123" s="25"/>
      <c r="G123" s="25"/>
      <c r="H123" s="25"/>
      <c r="I123" s="25"/>
      <c r="J123" s="25"/>
      <c r="K123" s="25"/>
      <c r="L123" s="25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35"/>
      <c r="Y123" s="35"/>
      <c r="Z123" s="36"/>
      <c r="AA123" s="35"/>
      <c r="AB123" s="35"/>
      <c r="AC123" s="35"/>
      <c r="AD123" s="35"/>
      <c r="AE123" s="35"/>
      <c r="AF123" s="35"/>
      <c r="AG123" s="35"/>
    </row>
    <row r="124" spans="1:33" x14ac:dyDescent="0.25">
      <c r="A124" s="5"/>
      <c r="B124" s="14"/>
      <c r="C124" s="14"/>
      <c r="D124" s="6"/>
      <c r="E124" s="6"/>
      <c r="F124" s="25"/>
      <c r="G124" s="25"/>
      <c r="H124" s="25"/>
      <c r="I124" s="25"/>
      <c r="J124" s="25"/>
      <c r="K124" s="25"/>
      <c r="L124" s="25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35"/>
      <c r="Y124" s="35"/>
      <c r="Z124" s="36"/>
      <c r="AA124" s="35"/>
      <c r="AB124" s="35"/>
      <c r="AC124" s="35"/>
      <c r="AD124" s="35"/>
      <c r="AE124" s="35"/>
      <c r="AF124" s="35"/>
      <c r="AG124" s="35"/>
    </row>
    <row r="125" spans="1:33" x14ac:dyDescent="0.25">
      <c r="A125" s="5"/>
      <c r="B125" s="14"/>
      <c r="C125" s="14"/>
      <c r="D125" s="6"/>
      <c r="E125" s="6"/>
      <c r="F125" s="25"/>
      <c r="G125" s="25"/>
      <c r="H125" s="25"/>
      <c r="I125" s="25"/>
      <c r="J125" s="25"/>
      <c r="K125" s="25"/>
      <c r="L125" s="25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35"/>
      <c r="Y125" s="35"/>
      <c r="Z125" s="36"/>
      <c r="AA125" s="35"/>
      <c r="AB125" s="35"/>
      <c r="AC125" s="35"/>
      <c r="AD125" s="35"/>
      <c r="AE125" s="35"/>
      <c r="AF125" s="35"/>
      <c r="AG125" s="35"/>
    </row>
    <row r="126" spans="1:33" x14ac:dyDescent="0.25">
      <c r="A126" s="5"/>
      <c r="B126" s="14"/>
      <c r="C126" s="14"/>
      <c r="D126" s="6"/>
      <c r="E126" s="6"/>
      <c r="F126" s="25"/>
      <c r="G126" s="25"/>
      <c r="H126" s="25"/>
      <c r="I126" s="25"/>
      <c r="J126" s="25"/>
      <c r="K126" s="25"/>
      <c r="L126" s="25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35"/>
      <c r="Y126" s="35"/>
      <c r="Z126" s="36"/>
      <c r="AA126" s="35"/>
      <c r="AB126" s="35"/>
      <c r="AC126" s="35"/>
      <c r="AD126" s="35"/>
      <c r="AE126" s="35"/>
      <c r="AF126" s="35"/>
      <c r="AG126" s="35"/>
    </row>
    <row r="127" spans="1:33" x14ac:dyDescent="0.25">
      <c r="A127" s="5"/>
      <c r="B127" s="14"/>
      <c r="C127" s="14"/>
      <c r="D127" s="6"/>
      <c r="E127" s="6"/>
      <c r="F127" s="25"/>
      <c r="G127" s="25"/>
      <c r="H127" s="25"/>
      <c r="I127" s="25"/>
      <c r="J127" s="25"/>
      <c r="K127" s="25"/>
      <c r="L127" s="25"/>
      <c r="M127" s="28"/>
      <c r="N127" s="28"/>
      <c r="O127" s="28"/>
      <c r="P127" s="28"/>
      <c r="Q127" s="28"/>
      <c r="R127" s="28"/>
      <c r="S127" s="28"/>
      <c r="T127" s="28"/>
      <c r="U127" s="28"/>
      <c r="V127" s="25"/>
      <c r="W127" s="28"/>
      <c r="X127" s="35"/>
      <c r="Y127" s="35"/>
      <c r="Z127" s="36"/>
      <c r="AA127" s="35"/>
      <c r="AB127" s="35"/>
      <c r="AC127" s="35"/>
      <c r="AD127" s="35"/>
      <c r="AE127" s="35"/>
      <c r="AF127" s="35"/>
      <c r="AG127" s="35"/>
    </row>
    <row r="128" spans="1:33" x14ac:dyDescent="0.25">
      <c r="A128" s="5"/>
      <c r="B128" s="14"/>
      <c r="C128" s="14"/>
      <c r="D128" s="6"/>
      <c r="E128" s="6"/>
      <c r="F128" s="25"/>
      <c r="G128" s="25"/>
      <c r="H128" s="25"/>
      <c r="I128" s="25"/>
      <c r="J128" s="25"/>
      <c r="K128" s="25"/>
      <c r="L128" s="25"/>
      <c r="M128" s="28"/>
      <c r="N128" s="28"/>
      <c r="O128" s="28"/>
      <c r="P128" s="28"/>
      <c r="Q128" s="28"/>
      <c r="R128" s="28"/>
      <c r="S128" s="28"/>
      <c r="T128" s="28"/>
      <c r="U128" s="28"/>
      <c r="V128" s="25"/>
      <c r="W128" s="28"/>
      <c r="X128" s="35"/>
      <c r="Y128" s="35"/>
      <c r="Z128" s="36"/>
      <c r="AA128" s="35"/>
      <c r="AB128" s="35"/>
      <c r="AC128" s="35"/>
      <c r="AD128" s="35"/>
      <c r="AE128" s="35"/>
      <c r="AF128" s="35"/>
      <c r="AG128" s="35"/>
    </row>
    <row r="129" spans="1:33" x14ac:dyDescent="0.25">
      <c r="A129" s="5"/>
      <c r="B129" s="14"/>
      <c r="C129" s="14"/>
      <c r="D129" s="6"/>
      <c r="E129" s="6"/>
      <c r="F129" s="25"/>
      <c r="G129" s="25"/>
      <c r="H129" s="25"/>
      <c r="I129" s="25"/>
      <c r="J129" s="25"/>
      <c r="K129" s="25"/>
      <c r="L129" s="25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35"/>
      <c r="Y129" s="35"/>
      <c r="Z129" s="36"/>
      <c r="AA129" s="35"/>
      <c r="AB129" s="35"/>
      <c r="AC129" s="35"/>
      <c r="AD129" s="35"/>
      <c r="AE129" s="35"/>
      <c r="AF129" s="35"/>
      <c r="AG129" s="35"/>
    </row>
    <row r="130" spans="1:33" x14ac:dyDescent="0.25">
      <c r="A130" s="5"/>
      <c r="B130" s="14"/>
      <c r="C130" s="14"/>
      <c r="D130" s="6"/>
      <c r="E130" s="6"/>
      <c r="F130" s="25"/>
      <c r="G130" s="25"/>
      <c r="H130" s="25"/>
      <c r="I130" s="25"/>
      <c r="J130" s="25"/>
      <c r="K130" s="25"/>
      <c r="L130" s="25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35"/>
      <c r="Y130" s="35"/>
      <c r="Z130" s="36"/>
      <c r="AA130" s="35"/>
      <c r="AB130" s="35"/>
      <c r="AC130" s="35"/>
      <c r="AD130" s="35"/>
      <c r="AE130" s="35"/>
      <c r="AF130" s="35"/>
      <c r="AG130" s="35"/>
    </row>
    <row r="131" spans="1:33" x14ac:dyDescent="0.25">
      <c r="A131" s="5"/>
      <c r="B131" s="14"/>
      <c r="C131" s="14"/>
      <c r="D131" s="6"/>
      <c r="E131" s="6"/>
      <c r="F131" s="25"/>
      <c r="G131" s="25"/>
      <c r="H131" s="25"/>
      <c r="I131" s="25"/>
      <c r="J131" s="25"/>
      <c r="K131" s="25"/>
      <c r="L131" s="25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35"/>
      <c r="Y131" s="35"/>
      <c r="Z131" s="36"/>
      <c r="AA131" s="35"/>
      <c r="AB131" s="35"/>
      <c r="AC131" s="35"/>
      <c r="AD131" s="35"/>
      <c r="AE131" s="35"/>
      <c r="AF131" s="35"/>
      <c r="AG131" s="35"/>
    </row>
    <row r="132" spans="1:33" x14ac:dyDescent="0.25">
      <c r="A132" s="5"/>
      <c r="B132" s="14"/>
      <c r="C132" s="14"/>
      <c r="D132" s="6"/>
      <c r="E132" s="6"/>
      <c r="F132" s="25"/>
      <c r="G132" s="25"/>
      <c r="H132" s="25"/>
      <c r="I132" s="25"/>
      <c r="J132" s="25"/>
      <c r="K132" s="25"/>
      <c r="L132" s="25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35"/>
      <c r="Y132" s="35"/>
      <c r="Z132" s="36"/>
      <c r="AA132" s="35"/>
      <c r="AB132" s="35"/>
      <c r="AC132" s="35"/>
      <c r="AD132" s="35"/>
      <c r="AE132" s="35"/>
      <c r="AF132" s="35"/>
      <c r="AG132" s="35"/>
    </row>
    <row r="133" spans="1:33" x14ac:dyDescent="0.25">
      <c r="A133" s="5"/>
      <c r="B133" s="14"/>
      <c r="C133" s="14"/>
      <c r="D133" s="6"/>
      <c r="E133" s="6"/>
      <c r="F133" s="25"/>
      <c r="G133" s="25"/>
      <c r="H133" s="25"/>
      <c r="I133" s="25"/>
      <c r="J133" s="25"/>
      <c r="K133" s="25"/>
      <c r="L133" s="25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35"/>
      <c r="Y133" s="35"/>
      <c r="Z133" s="36"/>
      <c r="AA133" s="35"/>
      <c r="AB133" s="35"/>
      <c r="AC133" s="35"/>
      <c r="AD133" s="35"/>
      <c r="AE133" s="35"/>
      <c r="AF133" s="35"/>
      <c r="AG133" s="35"/>
    </row>
    <row r="134" spans="1:33" x14ac:dyDescent="0.25">
      <c r="A134" s="5"/>
      <c r="B134" s="14"/>
      <c r="C134" s="14"/>
      <c r="D134" s="6"/>
      <c r="E134" s="6"/>
      <c r="F134" s="25"/>
      <c r="G134" s="25"/>
      <c r="H134" s="25"/>
      <c r="I134" s="25"/>
      <c r="J134" s="25"/>
      <c r="K134" s="25"/>
      <c r="L134" s="25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35"/>
      <c r="Y134" s="35"/>
      <c r="Z134" s="36"/>
      <c r="AA134" s="35"/>
      <c r="AB134" s="35"/>
      <c r="AC134" s="35"/>
      <c r="AD134" s="35"/>
      <c r="AE134" s="35"/>
      <c r="AF134" s="35"/>
      <c r="AG134" s="35"/>
    </row>
    <row r="135" spans="1:33" x14ac:dyDescent="0.25">
      <c r="A135" s="5"/>
      <c r="B135" s="14"/>
      <c r="C135" s="14"/>
      <c r="D135" s="6"/>
      <c r="E135" s="6"/>
      <c r="F135" s="25"/>
      <c r="G135" s="25"/>
      <c r="H135" s="25"/>
      <c r="I135" s="25"/>
      <c r="J135" s="25"/>
      <c r="K135" s="25"/>
      <c r="L135" s="25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35"/>
      <c r="Y135" s="35"/>
      <c r="Z135" s="36"/>
      <c r="AA135" s="35"/>
      <c r="AB135" s="35"/>
      <c r="AC135" s="35"/>
      <c r="AD135" s="35"/>
      <c r="AE135" s="35"/>
      <c r="AF135" s="35"/>
      <c r="AG135" s="35"/>
    </row>
    <row r="136" spans="1:33" x14ac:dyDescent="0.25">
      <c r="A136" s="5"/>
      <c r="B136" s="14"/>
      <c r="C136" s="14"/>
      <c r="D136" s="6"/>
      <c r="E136" s="6"/>
      <c r="F136" s="25"/>
      <c r="G136" s="25"/>
      <c r="H136" s="25"/>
      <c r="I136" s="25"/>
      <c r="J136" s="25"/>
      <c r="K136" s="25"/>
      <c r="L136" s="25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35"/>
      <c r="Y136" s="35"/>
      <c r="Z136" s="36"/>
      <c r="AA136" s="35"/>
      <c r="AB136" s="35"/>
      <c r="AC136" s="35"/>
      <c r="AD136" s="35"/>
      <c r="AE136" s="35"/>
      <c r="AF136" s="35"/>
      <c r="AG136" s="35"/>
    </row>
    <row r="137" spans="1:33" x14ac:dyDescent="0.25">
      <c r="A137" s="5"/>
      <c r="B137" s="14"/>
      <c r="C137" s="14"/>
      <c r="D137" s="6"/>
      <c r="E137" s="6"/>
      <c r="F137" s="25"/>
      <c r="G137" s="25"/>
      <c r="H137" s="25"/>
      <c r="I137" s="25"/>
      <c r="J137" s="25"/>
      <c r="K137" s="25"/>
      <c r="L137" s="25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35"/>
      <c r="Y137" s="35"/>
      <c r="Z137" s="36"/>
      <c r="AA137" s="35"/>
      <c r="AB137" s="35"/>
      <c r="AC137" s="35"/>
      <c r="AD137" s="35"/>
      <c r="AE137" s="35"/>
      <c r="AF137" s="35"/>
      <c r="AG137" s="35"/>
    </row>
    <row r="138" spans="1:33" x14ac:dyDescent="0.25">
      <c r="A138" s="5"/>
      <c r="B138" s="14"/>
      <c r="C138" s="14"/>
      <c r="D138" s="6"/>
      <c r="E138" s="6"/>
      <c r="F138" s="25"/>
      <c r="G138" s="25"/>
      <c r="H138" s="25"/>
      <c r="I138" s="25"/>
      <c r="J138" s="25"/>
      <c r="K138" s="25"/>
      <c r="L138" s="25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35"/>
      <c r="Y138" s="35"/>
      <c r="Z138" s="36"/>
      <c r="AA138" s="35"/>
      <c r="AB138" s="35"/>
      <c r="AC138" s="35"/>
      <c r="AD138" s="35"/>
      <c r="AE138" s="35"/>
      <c r="AF138" s="35"/>
      <c r="AG138" s="35"/>
    </row>
    <row r="139" spans="1:33" x14ac:dyDescent="0.25">
      <c r="A139" s="5"/>
      <c r="B139" s="14"/>
      <c r="C139" s="14"/>
      <c r="D139" s="6"/>
      <c r="E139" s="6"/>
      <c r="F139" s="25"/>
      <c r="G139" s="25"/>
      <c r="H139" s="25"/>
      <c r="I139" s="25"/>
      <c r="J139" s="25"/>
      <c r="K139" s="25"/>
      <c r="L139" s="25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35"/>
      <c r="Y139" s="35"/>
      <c r="Z139" s="36"/>
      <c r="AA139" s="35"/>
      <c r="AB139" s="35"/>
      <c r="AC139" s="35"/>
      <c r="AD139" s="35"/>
      <c r="AE139" s="35"/>
      <c r="AF139" s="35"/>
      <c r="AG139" s="35"/>
    </row>
    <row r="140" spans="1:33" x14ac:dyDescent="0.25">
      <c r="A140" s="5"/>
      <c r="B140" s="14"/>
      <c r="C140" s="14"/>
      <c r="D140" s="6"/>
      <c r="E140" s="6"/>
      <c r="F140" s="25"/>
      <c r="G140" s="25"/>
      <c r="H140" s="25"/>
      <c r="I140" s="25"/>
      <c r="J140" s="25"/>
      <c r="K140" s="25"/>
      <c r="L140" s="25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35"/>
      <c r="Y140" s="35"/>
      <c r="Z140" s="36"/>
      <c r="AA140" s="35"/>
      <c r="AB140" s="35"/>
      <c r="AC140" s="35"/>
      <c r="AD140" s="35"/>
      <c r="AE140" s="35"/>
      <c r="AF140" s="35"/>
      <c r="AG140" s="35"/>
    </row>
    <row r="141" spans="1:33" x14ac:dyDescent="0.25">
      <c r="A141" s="5"/>
      <c r="B141" s="14"/>
      <c r="C141" s="14"/>
      <c r="D141" s="6"/>
      <c r="E141" s="6"/>
      <c r="F141" s="25"/>
      <c r="G141" s="25"/>
      <c r="H141" s="25"/>
      <c r="I141" s="25"/>
      <c r="J141" s="25"/>
      <c r="K141" s="25"/>
      <c r="L141" s="25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35"/>
      <c r="Y141" s="35"/>
      <c r="Z141" s="36"/>
      <c r="AA141" s="35"/>
      <c r="AB141" s="35"/>
      <c r="AC141" s="35"/>
      <c r="AD141" s="35"/>
      <c r="AE141" s="35"/>
      <c r="AF141" s="35"/>
      <c r="AG141" s="35"/>
    </row>
    <row r="142" spans="1:33" x14ac:dyDescent="0.25">
      <c r="A142" s="5"/>
      <c r="B142" s="14"/>
      <c r="C142" s="14"/>
      <c r="D142" s="6"/>
      <c r="E142" s="6"/>
      <c r="F142" s="25"/>
      <c r="G142" s="25"/>
      <c r="H142" s="25"/>
      <c r="I142" s="25"/>
      <c r="J142" s="25"/>
      <c r="K142" s="25"/>
      <c r="L142" s="25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35"/>
      <c r="Y142" s="35"/>
      <c r="Z142" s="36"/>
      <c r="AA142" s="35"/>
      <c r="AB142" s="35"/>
      <c r="AC142" s="35"/>
      <c r="AD142" s="35"/>
      <c r="AE142" s="35"/>
      <c r="AF142" s="35"/>
      <c r="AG142" s="35"/>
    </row>
    <row r="143" spans="1:33" x14ac:dyDescent="0.25">
      <c r="A143" s="5"/>
      <c r="B143" s="14"/>
      <c r="C143" s="14"/>
      <c r="D143" s="6"/>
      <c r="E143" s="6"/>
      <c r="F143" s="25"/>
      <c r="G143" s="25"/>
      <c r="H143" s="25"/>
      <c r="I143" s="25"/>
      <c r="J143" s="25"/>
      <c r="K143" s="25"/>
      <c r="L143" s="25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35"/>
      <c r="Y143" s="35"/>
      <c r="Z143" s="36"/>
      <c r="AA143" s="35"/>
      <c r="AB143" s="35"/>
      <c r="AC143" s="35"/>
      <c r="AD143" s="35"/>
      <c r="AE143" s="35"/>
      <c r="AF143" s="35"/>
      <c r="AG143" s="35"/>
    </row>
    <row r="144" spans="1:33" x14ac:dyDescent="0.25">
      <c r="A144" s="5"/>
      <c r="B144" s="14"/>
      <c r="C144" s="14"/>
      <c r="D144" s="6"/>
      <c r="E144" s="6"/>
      <c r="F144" s="25"/>
      <c r="G144" s="25"/>
      <c r="H144" s="25"/>
      <c r="I144" s="25"/>
      <c r="J144" s="25"/>
      <c r="K144" s="25"/>
      <c r="L144" s="25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35"/>
      <c r="Y144" s="35"/>
      <c r="Z144" s="36"/>
      <c r="AA144" s="35"/>
      <c r="AB144" s="35"/>
      <c r="AC144" s="35"/>
      <c r="AD144" s="35"/>
      <c r="AE144" s="35"/>
      <c r="AF144" s="35"/>
      <c r="AG144" s="35"/>
    </row>
    <row r="145" spans="1:33" x14ac:dyDescent="0.25">
      <c r="A145" s="5"/>
      <c r="B145" s="14"/>
      <c r="C145" s="14"/>
      <c r="D145" s="6"/>
      <c r="E145" s="6"/>
      <c r="F145" s="25"/>
      <c r="G145" s="25"/>
      <c r="H145" s="25"/>
      <c r="I145" s="25"/>
      <c r="J145" s="25"/>
      <c r="K145" s="25"/>
      <c r="L145" s="25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35"/>
      <c r="Y145" s="35"/>
      <c r="Z145" s="36"/>
      <c r="AA145" s="35"/>
      <c r="AB145" s="35"/>
      <c r="AC145" s="35"/>
      <c r="AD145" s="35"/>
      <c r="AE145" s="35"/>
      <c r="AF145" s="35"/>
      <c r="AG145" s="35"/>
    </row>
    <row r="146" spans="1:33" x14ac:dyDescent="0.25">
      <c r="A146" s="5"/>
      <c r="B146" s="14"/>
      <c r="C146" s="14"/>
      <c r="D146" s="6"/>
      <c r="E146" s="6"/>
      <c r="F146" s="25"/>
      <c r="G146" s="25"/>
      <c r="H146" s="25"/>
      <c r="I146" s="25"/>
      <c r="J146" s="25"/>
      <c r="K146" s="25"/>
      <c r="L146" s="25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35"/>
      <c r="Y146" s="35"/>
      <c r="Z146" s="36"/>
      <c r="AA146" s="35"/>
      <c r="AB146" s="35"/>
      <c r="AC146" s="35"/>
      <c r="AD146" s="35"/>
      <c r="AE146" s="35"/>
      <c r="AF146" s="35"/>
      <c r="AG146" s="35"/>
    </row>
    <row r="147" spans="1:33" x14ac:dyDescent="0.25">
      <c r="A147" s="5"/>
      <c r="B147" s="14"/>
      <c r="C147" s="14"/>
      <c r="D147" s="6"/>
      <c r="E147" s="6"/>
      <c r="F147" s="25"/>
      <c r="G147" s="25"/>
      <c r="H147" s="25"/>
      <c r="I147" s="25"/>
      <c r="J147" s="25"/>
      <c r="K147" s="25"/>
      <c r="L147" s="25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35"/>
      <c r="Y147" s="35"/>
      <c r="Z147" s="36"/>
      <c r="AA147" s="35"/>
      <c r="AB147" s="35"/>
      <c r="AC147" s="35"/>
      <c r="AD147" s="35"/>
      <c r="AE147" s="35"/>
      <c r="AF147" s="35"/>
      <c r="AG147" s="35"/>
    </row>
    <row r="148" spans="1:33" x14ac:dyDescent="0.25">
      <c r="A148" s="5"/>
      <c r="B148" s="14"/>
      <c r="C148" s="14"/>
      <c r="D148" s="6"/>
      <c r="E148" s="6"/>
      <c r="F148" s="25"/>
      <c r="G148" s="25"/>
      <c r="H148" s="25"/>
      <c r="I148" s="25"/>
      <c r="J148" s="25"/>
      <c r="K148" s="25"/>
      <c r="L148" s="25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35"/>
      <c r="Y148" s="35"/>
      <c r="Z148" s="36"/>
      <c r="AA148" s="35"/>
      <c r="AB148" s="35"/>
      <c r="AC148" s="35"/>
      <c r="AD148" s="35"/>
      <c r="AE148" s="35"/>
      <c r="AF148" s="35"/>
      <c r="AG148" s="35"/>
    </row>
    <row r="149" spans="1:33" x14ac:dyDescent="0.25">
      <c r="A149" s="5"/>
      <c r="B149" s="14"/>
      <c r="C149" s="14"/>
      <c r="D149" s="6"/>
      <c r="E149" s="6"/>
      <c r="F149" s="25"/>
      <c r="G149" s="25"/>
      <c r="H149" s="25"/>
      <c r="I149" s="25"/>
      <c r="J149" s="25"/>
      <c r="K149" s="25"/>
      <c r="L149" s="25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35"/>
      <c r="Y149" s="35"/>
      <c r="Z149" s="36"/>
      <c r="AA149" s="35"/>
      <c r="AB149" s="35"/>
      <c r="AC149" s="35"/>
      <c r="AD149" s="35"/>
      <c r="AE149" s="35"/>
      <c r="AF149" s="35"/>
      <c r="AG149" s="35"/>
    </row>
    <row r="150" spans="1:33" x14ac:dyDescent="0.25">
      <c r="A150" s="5"/>
      <c r="B150" s="14"/>
      <c r="C150" s="14"/>
      <c r="D150" s="6"/>
      <c r="E150" s="6"/>
      <c r="F150" s="25"/>
      <c r="G150" s="25"/>
      <c r="H150" s="25"/>
      <c r="I150" s="25"/>
      <c r="J150" s="25"/>
      <c r="K150" s="25"/>
      <c r="L150" s="25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35"/>
      <c r="Y150" s="35"/>
      <c r="Z150" s="36"/>
      <c r="AA150" s="35"/>
      <c r="AB150" s="35"/>
      <c r="AC150" s="35"/>
      <c r="AD150" s="35"/>
      <c r="AE150" s="35"/>
      <c r="AF150" s="35"/>
      <c r="AG150" s="35"/>
    </row>
    <row r="151" spans="1:33" x14ac:dyDescent="0.25">
      <c r="A151" s="5"/>
      <c r="B151" s="14"/>
      <c r="C151" s="14"/>
      <c r="D151" s="6"/>
      <c r="E151" s="6"/>
      <c r="F151" s="25"/>
      <c r="G151" s="25"/>
      <c r="H151" s="25"/>
      <c r="I151" s="25"/>
      <c r="J151" s="25"/>
      <c r="K151" s="25"/>
      <c r="L151" s="25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35"/>
      <c r="Y151" s="35"/>
      <c r="Z151" s="36"/>
      <c r="AA151" s="35"/>
      <c r="AB151" s="35"/>
      <c r="AC151" s="35"/>
      <c r="AD151" s="35"/>
      <c r="AE151" s="35"/>
      <c r="AF151" s="35"/>
      <c r="AG151" s="35"/>
    </row>
    <row r="152" spans="1:33" x14ac:dyDescent="0.25">
      <c r="A152" s="5"/>
      <c r="B152" s="14"/>
      <c r="C152" s="14"/>
      <c r="D152" s="6"/>
      <c r="E152" s="6"/>
      <c r="F152" s="25"/>
      <c r="G152" s="25"/>
      <c r="H152" s="25"/>
      <c r="I152" s="25"/>
      <c r="J152" s="25"/>
      <c r="K152" s="25"/>
      <c r="L152" s="25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35"/>
      <c r="Y152" s="35"/>
      <c r="Z152" s="36"/>
      <c r="AA152" s="35"/>
      <c r="AB152" s="35"/>
      <c r="AC152" s="35"/>
      <c r="AD152" s="35"/>
      <c r="AE152" s="35"/>
      <c r="AF152" s="35"/>
      <c r="AG152" s="35"/>
    </row>
    <row r="153" spans="1:33" x14ac:dyDescent="0.25">
      <c r="A153" s="5"/>
      <c r="B153" s="14"/>
      <c r="C153" s="14"/>
      <c r="D153" s="6"/>
      <c r="E153" s="6"/>
      <c r="F153" s="25"/>
      <c r="G153" s="25"/>
      <c r="H153" s="25"/>
      <c r="I153" s="25"/>
      <c r="J153" s="25"/>
      <c r="K153" s="25"/>
      <c r="L153" s="25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35"/>
      <c r="Y153" s="35"/>
      <c r="Z153" s="36"/>
      <c r="AA153" s="35"/>
      <c r="AB153" s="35"/>
      <c r="AC153" s="35"/>
      <c r="AD153" s="35"/>
      <c r="AE153" s="35"/>
      <c r="AF153" s="35"/>
      <c r="AG153" s="35"/>
    </row>
    <row r="154" spans="1:33" x14ac:dyDescent="0.25">
      <c r="A154" s="5"/>
      <c r="B154" s="14"/>
      <c r="C154" s="14"/>
      <c r="D154" s="6"/>
      <c r="E154" s="6"/>
      <c r="F154" s="25"/>
      <c r="G154" s="25"/>
      <c r="H154" s="25"/>
      <c r="I154" s="25"/>
      <c r="J154" s="25"/>
      <c r="K154" s="25"/>
      <c r="L154" s="25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35"/>
      <c r="Y154" s="35"/>
      <c r="Z154" s="36"/>
      <c r="AA154" s="35"/>
      <c r="AB154" s="35"/>
      <c r="AC154" s="35"/>
      <c r="AD154" s="35"/>
      <c r="AE154" s="35"/>
      <c r="AF154" s="35"/>
      <c r="AG154" s="35"/>
    </row>
    <row r="155" spans="1:33" x14ac:dyDescent="0.25">
      <c r="A155" s="5"/>
      <c r="B155" s="14"/>
      <c r="C155" s="14"/>
      <c r="D155" s="6"/>
      <c r="E155" s="6"/>
      <c r="F155" s="25"/>
      <c r="G155" s="25"/>
      <c r="H155" s="25"/>
      <c r="I155" s="25"/>
      <c r="J155" s="25"/>
      <c r="K155" s="25"/>
      <c r="L155" s="25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35"/>
      <c r="Y155" s="35"/>
      <c r="Z155" s="36"/>
      <c r="AA155" s="35"/>
      <c r="AB155" s="35"/>
      <c r="AC155" s="35"/>
      <c r="AD155" s="35"/>
      <c r="AE155" s="35"/>
      <c r="AF155" s="35"/>
      <c r="AG155" s="35"/>
    </row>
    <row r="156" spans="1:33" x14ac:dyDescent="0.25">
      <c r="A156" s="5"/>
      <c r="B156" s="14"/>
      <c r="C156" s="14"/>
      <c r="D156" s="6"/>
      <c r="E156" s="6"/>
      <c r="F156" s="25"/>
      <c r="G156" s="25"/>
      <c r="H156" s="25"/>
      <c r="I156" s="25"/>
      <c r="J156" s="25"/>
      <c r="K156" s="25"/>
      <c r="L156" s="25"/>
      <c r="M156" s="28"/>
      <c r="N156" s="28"/>
      <c r="O156" s="28"/>
      <c r="P156" s="28"/>
      <c r="Q156" s="28"/>
      <c r="R156" s="28"/>
      <c r="S156" s="28"/>
      <c r="T156" s="28"/>
      <c r="U156" s="28"/>
      <c r="V156" s="25"/>
      <c r="W156" s="28"/>
      <c r="X156" s="35"/>
      <c r="Y156" s="35"/>
      <c r="Z156" s="36"/>
      <c r="AA156" s="35"/>
      <c r="AB156" s="35"/>
      <c r="AC156" s="35"/>
      <c r="AD156" s="35"/>
      <c r="AE156" s="35"/>
      <c r="AF156" s="35"/>
      <c r="AG156" s="35"/>
    </row>
    <row r="157" spans="1:33" x14ac:dyDescent="0.25">
      <c r="A157" s="5"/>
      <c r="B157" s="14"/>
      <c r="C157" s="14"/>
      <c r="D157" s="6"/>
      <c r="E157" s="6"/>
      <c r="F157" s="25"/>
      <c r="G157" s="25"/>
      <c r="H157" s="25"/>
      <c r="I157" s="25"/>
      <c r="J157" s="25"/>
      <c r="K157" s="25"/>
      <c r="L157" s="25"/>
      <c r="M157" s="28"/>
      <c r="N157" s="28"/>
      <c r="O157" s="28"/>
      <c r="P157" s="28"/>
      <c r="Q157" s="28"/>
      <c r="R157" s="28"/>
      <c r="S157" s="28"/>
      <c r="T157" s="28"/>
      <c r="U157" s="28"/>
      <c r="V157" s="25"/>
      <c r="W157" s="28"/>
      <c r="X157" s="35"/>
      <c r="Y157" s="35"/>
      <c r="Z157" s="36"/>
      <c r="AA157" s="35"/>
      <c r="AB157" s="35"/>
      <c r="AC157" s="35"/>
      <c r="AD157" s="35"/>
      <c r="AE157" s="35"/>
      <c r="AF157" s="35"/>
      <c r="AG157" s="35"/>
    </row>
    <row r="158" spans="1:33" x14ac:dyDescent="0.25">
      <c r="A158" s="5"/>
      <c r="B158" s="14"/>
      <c r="C158" s="14"/>
      <c r="D158" s="6"/>
      <c r="E158" s="6"/>
      <c r="F158" s="25"/>
      <c r="G158" s="25"/>
      <c r="H158" s="25"/>
      <c r="I158" s="25"/>
      <c r="J158" s="25"/>
      <c r="K158" s="25"/>
      <c r="L158" s="25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35"/>
      <c r="Y158" s="35"/>
      <c r="Z158" s="36"/>
      <c r="AA158" s="35"/>
      <c r="AB158" s="35"/>
      <c r="AC158" s="35"/>
      <c r="AD158" s="35"/>
      <c r="AE158" s="35"/>
      <c r="AF158" s="35"/>
      <c r="AG158" s="35"/>
    </row>
    <row r="159" spans="1:33" x14ac:dyDescent="0.25">
      <c r="A159" s="5"/>
      <c r="B159" s="14"/>
      <c r="C159" s="14"/>
      <c r="D159" s="6"/>
      <c r="E159" s="6"/>
      <c r="F159" s="25"/>
      <c r="G159" s="25"/>
      <c r="H159" s="25"/>
      <c r="I159" s="25"/>
      <c r="J159" s="25"/>
      <c r="K159" s="25"/>
      <c r="L159" s="25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35"/>
      <c r="Y159" s="35"/>
      <c r="Z159" s="36"/>
      <c r="AA159" s="35"/>
      <c r="AB159" s="35"/>
      <c r="AC159" s="35"/>
      <c r="AD159" s="35"/>
      <c r="AE159" s="35"/>
      <c r="AF159" s="35"/>
      <c r="AG159" s="35"/>
    </row>
    <row r="160" spans="1:33" x14ac:dyDescent="0.25">
      <c r="A160" s="5"/>
      <c r="B160" s="14"/>
      <c r="C160" s="14"/>
      <c r="D160" s="6"/>
      <c r="E160" s="6"/>
      <c r="F160" s="25"/>
      <c r="G160" s="25"/>
      <c r="H160" s="25"/>
      <c r="I160" s="25"/>
      <c r="J160" s="25"/>
      <c r="K160" s="25"/>
      <c r="L160" s="25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35"/>
      <c r="Y160" s="35"/>
      <c r="Z160" s="36"/>
      <c r="AA160" s="35"/>
      <c r="AB160" s="35"/>
      <c r="AC160" s="35"/>
      <c r="AD160" s="35"/>
      <c r="AE160" s="35"/>
      <c r="AF160" s="35"/>
      <c r="AG160" s="35"/>
    </row>
    <row r="161" spans="1:33" x14ac:dyDescent="0.25">
      <c r="A161" s="5"/>
      <c r="B161" s="14"/>
      <c r="C161" s="14"/>
      <c r="D161" s="6"/>
      <c r="E161" s="6"/>
      <c r="F161" s="25"/>
      <c r="G161" s="25"/>
      <c r="H161" s="25"/>
      <c r="I161" s="25"/>
      <c r="J161" s="25"/>
      <c r="K161" s="25"/>
      <c r="L161" s="25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35"/>
      <c r="Y161" s="35"/>
      <c r="Z161" s="36"/>
      <c r="AA161" s="35"/>
      <c r="AB161" s="35"/>
      <c r="AC161" s="35"/>
      <c r="AD161" s="35"/>
      <c r="AE161" s="35"/>
      <c r="AF161" s="35"/>
      <c r="AG161" s="35"/>
    </row>
    <row r="162" spans="1:33" x14ac:dyDescent="0.25">
      <c r="A162" s="5"/>
      <c r="B162" s="14"/>
      <c r="C162" s="14"/>
      <c r="D162" s="6"/>
      <c r="E162" s="6"/>
      <c r="F162" s="25"/>
      <c r="G162" s="25"/>
      <c r="H162" s="25"/>
      <c r="I162" s="25"/>
      <c r="J162" s="25"/>
      <c r="K162" s="25"/>
      <c r="L162" s="25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35"/>
      <c r="Y162" s="35"/>
      <c r="Z162" s="36"/>
      <c r="AA162" s="35"/>
      <c r="AB162" s="35"/>
      <c r="AC162" s="35"/>
      <c r="AD162" s="35"/>
      <c r="AE162" s="35"/>
      <c r="AF162" s="35"/>
      <c r="AG162" s="35"/>
    </row>
    <row r="163" spans="1:33" x14ac:dyDescent="0.25">
      <c r="A163" s="5"/>
      <c r="B163" s="14"/>
      <c r="C163" s="14"/>
      <c r="D163" s="6"/>
      <c r="E163" s="6"/>
      <c r="F163" s="25"/>
      <c r="G163" s="25"/>
      <c r="H163" s="25"/>
      <c r="I163" s="25"/>
      <c r="J163" s="25"/>
      <c r="K163" s="25"/>
      <c r="L163" s="25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35"/>
      <c r="Y163" s="35"/>
      <c r="Z163" s="36"/>
      <c r="AA163" s="35"/>
      <c r="AB163" s="35"/>
      <c r="AC163" s="35"/>
      <c r="AD163" s="35"/>
      <c r="AE163" s="35"/>
      <c r="AF163" s="35"/>
      <c r="AG163" s="35"/>
    </row>
    <row r="164" spans="1:33" x14ac:dyDescent="0.25">
      <c r="A164" s="5"/>
      <c r="B164" s="14"/>
      <c r="C164" s="14"/>
      <c r="D164" s="6"/>
      <c r="E164" s="6"/>
      <c r="F164" s="25"/>
      <c r="G164" s="25"/>
      <c r="H164" s="25"/>
      <c r="I164" s="25"/>
      <c r="J164" s="25"/>
      <c r="K164" s="25"/>
      <c r="L164" s="25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35"/>
      <c r="Y164" s="35"/>
      <c r="Z164" s="36"/>
      <c r="AA164" s="35"/>
      <c r="AB164" s="35"/>
      <c r="AC164" s="35"/>
      <c r="AD164" s="35"/>
      <c r="AE164" s="35"/>
      <c r="AF164" s="35"/>
      <c r="AG164" s="35"/>
    </row>
    <row r="165" spans="1:33" x14ac:dyDescent="0.25">
      <c r="A165" s="5"/>
      <c r="B165" s="14"/>
      <c r="C165" s="14"/>
      <c r="D165" s="6"/>
      <c r="E165" s="6"/>
      <c r="F165" s="25"/>
      <c r="G165" s="25"/>
      <c r="H165" s="25"/>
      <c r="I165" s="25"/>
      <c r="J165" s="25"/>
      <c r="K165" s="25"/>
      <c r="L165" s="25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35"/>
      <c r="Y165" s="35"/>
      <c r="Z165" s="36"/>
      <c r="AA165" s="35"/>
      <c r="AB165" s="35"/>
      <c r="AC165" s="35"/>
      <c r="AD165" s="35"/>
      <c r="AE165" s="35"/>
      <c r="AF165" s="35"/>
      <c r="AG165" s="35"/>
    </row>
    <row r="166" spans="1:33" x14ac:dyDescent="0.25">
      <c r="A166" s="5"/>
      <c r="B166" s="14"/>
      <c r="C166" s="14"/>
      <c r="D166" s="6"/>
      <c r="E166" s="6"/>
      <c r="F166" s="25"/>
      <c r="G166" s="25"/>
      <c r="H166" s="25"/>
      <c r="I166" s="25"/>
      <c r="J166" s="25"/>
      <c r="K166" s="25"/>
      <c r="L166" s="25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35"/>
      <c r="Y166" s="35"/>
      <c r="Z166" s="36"/>
      <c r="AA166" s="35"/>
      <c r="AB166" s="35"/>
      <c r="AC166" s="35"/>
      <c r="AD166" s="35"/>
      <c r="AE166" s="35"/>
      <c r="AF166" s="35"/>
      <c r="AG166" s="35"/>
    </row>
    <row r="167" spans="1:33" x14ac:dyDescent="0.25">
      <c r="A167" s="5"/>
      <c r="B167" s="14"/>
      <c r="C167" s="14"/>
      <c r="D167" s="6"/>
      <c r="E167" s="6"/>
      <c r="F167" s="25"/>
      <c r="G167" s="25"/>
      <c r="H167" s="25"/>
      <c r="I167" s="25"/>
      <c r="J167" s="25"/>
      <c r="K167" s="25"/>
      <c r="L167" s="25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35"/>
      <c r="Y167" s="35"/>
      <c r="Z167" s="36"/>
      <c r="AA167" s="35"/>
      <c r="AB167" s="35"/>
      <c r="AC167" s="35"/>
      <c r="AD167" s="35"/>
      <c r="AE167" s="35"/>
      <c r="AF167" s="35"/>
      <c r="AG167" s="35"/>
    </row>
    <row r="168" spans="1:33" x14ac:dyDescent="0.25">
      <c r="A168" s="5"/>
      <c r="B168" s="14"/>
      <c r="C168" s="14"/>
      <c r="D168" s="6"/>
      <c r="E168" s="6"/>
      <c r="F168" s="25"/>
      <c r="G168" s="25"/>
      <c r="H168" s="25"/>
      <c r="I168" s="25"/>
      <c r="J168" s="25"/>
      <c r="K168" s="25"/>
      <c r="L168" s="25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35"/>
      <c r="Y168" s="35"/>
      <c r="Z168" s="36"/>
      <c r="AA168" s="35"/>
      <c r="AB168" s="35"/>
      <c r="AC168" s="35"/>
      <c r="AD168" s="35"/>
      <c r="AE168" s="35"/>
      <c r="AF168" s="35"/>
      <c r="AG168" s="35"/>
    </row>
    <row r="169" spans="1:33" x14ac:dyDescent="0.25">
      <c r="A169" s="5"/>
      <c r="B169" s="14"/>
      <c r="C169" s="14"/>
      <c r="D169" s="6"/>
      <c r="E169" s="6"/>
      <c r="F169" s="25"/>
      <c r="G169" s="25"/>
      <c r="H169" s="25"/>
      <c r="I169" s="25"/>
      <c r="J169" s="25"/>
      <c r="K169" s="25"/>
      <c r="L169" s="25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35"/>
      <c r="Y169" s="35"/>
      <c r="Z169" s="36"/>
      <c r="AA169" s="35"/>
      <c r="AB169" s="35"/>
      <c r="AC169" s="35"/>
      <c r="AD169" s="35"/>
      <c r="AE169" s="35"/>
      <c r="AF169" s="35"/>
      <c r="AG169" s="35"/>
    </row>
    <row r="170" spans="1:33" x14ac:dyDescent="0.25">
      <c r="A170" s="5"/>
      <c r="B170" s="14"/>
      <c r="C170" s="14"/>
      <c r="D170" s="6"/>
      <c r="E170" s="6"/>
      <c r="F170" s="25"/>
      <c r="G170" s="25"/>
      <c r="H170" s="25"/>
      <c r="I170" s="25"/>
      <c r="J170" s="25"/>
      <c r="K170" s="25"/>
      <c r="L170" s="25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35"/>
      <c r="Y170" s="35"/>
      <c r="Z170" s="36"/>
      <c r="AA170" s="35"/>
      <c r="AB170" s="35"/>
      <c r="AC170" s="35"/>
      <c r="AD170" s="35"/>
      <c r="AE170" s="35"/>
      <c r="AF170" s="35"/>
      <c r="AG170" s="35"/>
    </row>
    <row r="171" spans="1:33" x14ac:dyDescent="0.25">
      <c r="A171" s="5"/>
      <c r="B171" s="14"/>
      <c r="C171" s="14"/>
      <c r="D171" s="6"/>
      <c r="E171" s="6"/>
      <c r="F171" s="25"/>
      <c r="G171" s="25"/>
      <c r="H171" s="25"/>
      <c r="I171" s="25"/>
      <c r="J171" s="25"/>
      <c r="K171" s="25"/>
      <c r="L171" s="25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35"/>
      <c r="Y171" s="35"/>
      <c r="Z171" s="36"/>
      <c r="AA171" s="35"/>
      <c r="AB171" s="35"/>
      <c r="AC171" s="35"/>
      <c r="AD171" s="35"/>
      <c r="AE171" s="35"/>
      <c r="AF171" s="35"/>
      <c r="AG171" s="35"/>
    </row>
    <row r="172" spans="1:33" x14ac:dyDescent="0.25">
      <c r="A172" s="5"/>
      <c r="B172" s="14"/>
      <c r="C172" s="14"/>
      <c r="D172" s="6"/>
      <c r="E172" s="6"/>
      <c r="F172" s="25"/>
      <c r="G172" s="25"/>
      <c r="H172" s="25"/>
      <c r="I172" s="25"/>
      <c r="J172" s="25"/>
      <c r="K172" s="25"/>
      <c r="L172" s="25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35"/>
      <c r="Y172" s="35"/>
      <c r="Z172" s="36"/>
      <c r="AA172" s="35"/>
      <c r="AB172" s="35"/>
      <c r="AC172" s="35"/>
      <c r="AD172" s="35"/>
      <c r="AE172" s="35"/>
      <c r="AF172" s="35"/>
      <c r="AG172" s="35"/>
    </row>
    <row r="173" spans="1:33" x14ac:dyDescent="0.25">
      <c r="A173" s="5"/>
      <c r="B173" s="14"/>
      <c r="C173" s="14"/>
      <c r="D173" s="6"/>
      <c r="E173" s="6"/>
      <c r="F173" s="25"/>
      <c r="G173" s="25"/>
      <c r="H173" s="25"/>
      <c r="I173" s="25"/>
      <c r="J173" s="25"/>
      <c r="K173" s="25"/>
      <c r="L173" s="25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35"/>
      <c r="Y173" s="35"/>
      <c r="Z173" s="36"/>
      <c r="AA173" s="35"/>
      <c r="AB173" s="35"/>
      <c r="AC173" s="35"/>
      <c r="AD173" s="35"/>
      <c r="AE173" s="35"/>
      <c r="AF173" s="35"/>
      <c r="AG173" s="35"/>
    </row>
    <row r="174" spans="1:33" x14ac:dyDescent="0.25">
      <c r="A174" s="5"/>
      <c r="B174" s="14"/>
      <c r="C174" s="14"/>
      <c r="D174" s="6"/>
      <c r="E174" s="6"/>
      <c r="F174" s="25"/>
      <c r="G174" s="25"/>
      <c r="H174" s="25"/>
      <c r="I174" s="25"/>
      <c r="J174" s="25"/>
      <c r="K174" s="25"/>
      <c r="L174" s="25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35"/>
      <c r="Y174" s="35"/>
      <c r="Z174" s="36"/>
      <c r="AA174" s="35"/>
      <c r="AB174" s="35"/>
      <c r="AC174" s="35"/>
      <c r="AD174" s="35"/>
      <c r="AE174" s="35"/>
      <c r="AF174" s="35"/>
      <c r="AG174" s="35"/>
    </row>
    <row r="175" spans="1:33" x14ac:dyDescent="0.25">
      <c r="A175" s="5"/>
      <c r="B175" s="14"/>
      <c r="C175" s="14"/>
      <c r="D175" s="6"/>
      <c r="E175" s="6"/>
      <c r="F175" s="25"/>
      <c r="G175" s="25"/>
      <c r="H175" s="25"/>
      <c r="I175" s="25"/>
      <c r="J175" s="25"/>
      <c r="K175" s="25"/>
      <c r="L175" s="25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35"/>
      <c r="Y175" s="35"/>
      <c r="Z175" s="36"/>
      <c r="AA175" s="35"/>
      <c r="AB175" s="35"/>
      <c r="AC175" s="35"/>
      <c r="AD175" s="35"/>
      <c r="AE175" s="35"/>
      <c r="AF175" s="35"/>
      <c r="AG175" s="35"/>
    </row>
    <row r="176" spans="1:33" x14ac:dyDescent="0.25">
      <c r="A176" s="5"/>
      <c r="B176" s="14"/>
      <c r="C176" s="14"/>
      <c r="D176" s="6"/>
      <c r="E176" s="6"/>
      <c r="F176" s="25"/>
      <c r="G176" s="25"/>
      <c r="H176" s="25"/>
      <c r="I176" s="25"/>
      <c r="J176" s="25"/>
      <c r="K176" s="25"/>
      <c r="L176" s="25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35"/>
      <c r="Y176" s="35"/>
      <c r="Z176" s="36"/>
      <c r="AA176" s="35"/>
      <c r="AB176" s="35"/>
      <c r="AC176" s="35"/>
      <c r="AD176" s="35"/>
      <c r="AE176" s="35"/>
      <c r="AF176" s="35"/>
      <c r="AG176" s="35"/>
    </row>
    <row r="177" spans="1:33" x14ac:dyDescent="0.25">
      <c r="A177" s="5"/>
      <c r="B177" s="14"/>
      <c r="C177" s="14"/>
      <c r="D177" s="6"/>
      <c r="E177" s="6"/>
      <c r="F177" s="25"/>
      <c r="G177" s="25"/>
      <c r="H177" s="25"/>
      <c r="I177" s="25"/>
      <c r="J177" s="25"/>
      <c r="K177" s="25"/>
      <c r="L177" s="25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35"/>
      <c r="Y177" s="35"/>
      <c r="Z177" s="36"/>
      <c r="AA177" s="35"/>
      <c r="AB177" s="35"/>
      <c r="AC177" s="35"/>
      <c r="AD177" s="35"/>
      <c r="AE177" s="35"/>
      <c r="AF177" s="35"/>
      <c r="AG177" s="35"/>
    </row>
    <row r="178" spans="1:33" x14ac:dyDescent="0.25">
      <c r="A178" s="5"/>
      <c r="B178" s="14"/>
      <c r="C178" s="14"/>
      <c r="D178" s="6"/>
      <c r="E178" s="6"/>
      <c r="F178" s="25"/>
      <c r="G178" s="25"/>
      <c r="H178" s="25"/>
      <c r="I178" s="25"/>
      <c r="J178" s="25"/>
      <c r="K178" s="25"/>
      <c r="L178" s="25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35"/>
      <c r="Y178" s="35"/>
      <c r="Z178" s="36"/>
      <c r="AA178" s="35"/>
      <c r="AB178" s="35"/>
      <c r="AC178" s="35"/>
      <c r="AD178" s="35"/>
      <c r="AE178" s="35"/>
      <c r="AF178" s="35"/>
      <c r="AG178" s="35"/>
    </row>
    <row r="179" spans="1:33" x14ac:dyDescent="0.25">
      <c r="A179" s="5"/>
      <c r="B179" s="14"/>
      <c r="C179" s="14"/>
      <c r="D179" s="6"/>
      <c r="E179" s="6"/>
      <c r="F179" s="25"/>
      <c r="G179" s="25"/>
      <c r="H179" s="25"/>
      <c r="I179" s="25"/>
      <c r="J179" s="25"/>
      <c r="K179" s="25"/>
      <c r="L179" s="25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35"/>
      <c r="Y179" s="35"/>
      <c r="Z179" s="36"/>
      <c r="AA179" s="35"/>
      <c r="AB179" s="35"/>
      <c r="AC179" s="35"/>
      <c r="AD179" s="35"/>
      <c r="AE179" s="35"/>
      <c r="AF179" s="35"/>
      <c r="AG179" s="35"/>
    </row>
    <row r="180" spans="1:33" x14ac:dyDescent="0.25">
      <c r="A180" s="5"/>
      <c r="B180" s="14"/>
      <c r="C180" s="14"/>
      <c r="D180" s="6"/>
      <c r="E180" s="6"/>
      <c r="F180" s="25"/>
      <c r="G180" s="25"/>
      <c r="H180" s="25"/>
      <c r="I180" s="25"/>
      <c r="J180" s="25"/>
      <c r="K180" s="25"/>
      <c r="L180" s="25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35"/>
      <c r="Y180" s="35"/>
      <c r="Z180" s="36"/>
      <c r="AA180" s="35"/>
      <c r="AB180" s="35"/>
      <c r="AC180" s="35"/>
      <c r="AD180" s="35"/>
      <c r="AE180" s="35"/>
      <c r="AF180" s="35"/>
      <c r="AG180" s="35"/>
    </row>
    <row r="181" spans="1:33" x14ac:dyDescent="0.25">
      <c r="A181" s="5"/>
      <c r="B181" s="14"/>
      <c r="C181" s="14"/>
      <c r="D181" s="6"/>
      <c r="E181" s="6"/>
      <c r="F181" s="25"/>
      <c r="G181" s="25"/>
      <c r="H181" s="25"/>
      <c r="I181" s="25"/>
      <c r="J181" s="25"/>
      <c r="K181" s="25"/>
      <c r="L181" s="25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35"/>
      <c r="Y181" s="35"/>
      <c r="Z181" s="36"/>
      <c r="AA181" s="35"/>
      <c r="AB181" s="35"/>
      <c r="AC181" s="35"/>
      <c r="AD181" s="35"/>
      <c r="AE181" s="35"/>
      <c r="AF181" s="35"/>
      <c r="AG181" s="35"/>
    </row>
    <row r="182" spans="1:33" x14ac:dyDescent="0.25">
      <c r="A182" s="5"/>
      <c r="B182" s="14"/>
      <c r="C182" s="14"/>
      <c r="D182" s="6"/>
      <c r="E182" s="6"/>
      <c r="F182" s="25"/>
      <c r="G182" s="25"/>
      <c r="H182" s="25"/>
      <c r="I182" s="25"/>
      <c r="J182" s="25"/>
      <c r="K182" s="25"/>
      <c r="L182" s="25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35"/>
      <c r="Y182" s="35"/>
      <c r="Z182" s="36"/>
      <c r="AA182" s="35"/>
      <c r="AB182" s="35"/>
      <c r="AC182" s="35"/>
      <c r="AD182" s="35"/>
      <c r="AE182" s="35"/>
      <c r="AF182" s="35"/>
      <c r="AG182" s="35"/>
    </row>
    <row r="183" spans="1:33" x14ac:dyDescent="0.25">
      <c r="A183" s="5"/>
      <c r="B183" s="14"/>
      <c r="C183" s="14"/>
      <c r="D183" s="6"/>
      <c r="E183" s="6"/>
      <c r="F183" s="25"/>
      <c r="G183" s="25"/>
      <c r="H183" s="25"/>
      <c r="I183" s="25"/>
      <c r="J183" s="25"/>
      <c r="K183" s="25"/>
      <c r="L183" s="25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35"/>
      <c r="Y183" s="35"/>
      <c r="Z183" s="36"/>
      <c r="AA183" s="35"/>
      <c r="AB183" s="35"/>
      <c r="AC183" s="35"/>
      <c r="AD183" s="35"/>
      <c r="AE183" s="35"/>
      <c r="AF183" s="35"/>
      <c r="AG183" s="35"/>
    </row>
    <row r="184" spans="1:33" x14ac:dyDescent="0.25">
      <c r="A184" s="5"/>
      <c r="B184" s="14"/>
      <c r="C184" s="14"/>
      <c r="D184" s="6"/>
      <c r="E184" s="6"/>
      <c r="F184" s="25"/>
      <c r="G184" s="25"/>
      <c r="H184" s="25"/>
      <c r="I184" s="25"/>
      <c r="J184" s="25"/>
      <c r="K184" s="25"/>
      <c r="L184" s="25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35"/>
      <c r="Y184" s="35"/>
      <c r="Z184" s="36"/>
      <c r="AA184" s="35"/>
      <c r="AB184" s="35"/>
      <c r="AC184" s="35"/>
      <c r="AD184" s="35"/>
      <c r="AE184" s="35"/>
      <c r="AF184" s="35"/>
      <c r="AG184" s="35"/>
    </row>
    <row r="185" spans="1:33" x14ac:dyDescent="0.25">
      <c r="A185" s="5"/>
      <c r="B185" s="14"/>
      <c r="C185" s="14"/>
      <c r="D185" s="6"/>
      <c r="E185" s="6"/>
      <c r="F185" s="25"/>
      <c r="G185" s="25"/>
      <c r="H185" s="25"/>
      <c r="I185" s="25"/>
      <c r="J185" s="25"/>
      <c r="K185" s="25"/>
      <c r="L185" s="25"/>
      <c r="M185" s="28"/>
      <c r="N185" s="28"/>
      <c r="O185" s="28"/>
      <c r="P185" s="28"/>
      <c r="Q185" s="28"/>
      <c r="R185" s="28"/>
      <c r="S185" s="28"/>
      <c r="T185" s="28"/>
      <c r="U185" s="28"/>
      <c r="V185" s="25"/>
      <c r="W185" s="28"/>
      <c r="X185" s="35"/>
      <c r="Y185" s="35"/>
      <c r="Z185" s="36"/>
      <c r="AA185" s="35"/>
      <c r="AB185" s="35"/>
      <c r="AC185" s="35"/>
      <c r="AD185" s="35"/>
      <c r="AE185" s="35"/>
      <c r="AF185" s="35"/>
      <c r="AG185" s="35"/>
    </row>
    <row r="186" spans="1:33" x14ac:dyDescent="0.25">
      <c r="A186" s="5"/>
      <c r="B186" s="14"/>
      <c r="C186" s="14"/>
      <c r="D186" s="6"/>
      <c r="E186" s="6"/>
      <c r="F186" s="25"/>
      <c r="G186" s="25"/>
      <c r="H186" s="25"/>
      <c r="I186" s="25"/>
      <c r="J186" s="25"/>
      <c r="K186" s="25"/>
      <c r="L186" s="25"/>
      <c r="M186" s="28"/>
      <c r="N186" s="28"/>
      <c r="O186" s="28"/>
      <c r="P186" s="28"/>
      <c r="Q186" s="28"/>
      <c r="R186" s="28"/>
      <c r="S186" s="28"/>
      <c r="T186" s="28"/>
      <c r="U186" s="28"/>
      <c r="V186" s="25"/>
      <c r="W186" s="28"/>
      <c r="X186" s="35"/>
      <c r="Y186" s="35"/>
      <c r="Z186" s="36"/>
      <c r="AA186" s="35"/>
      <c r="AB186" s="35"/>
      <c r="AC186" s="35"/>
      <c r="AD186" s="35"/>
      <c r="AE186" s="35"/>
      <c r="AF186" s="35"/>
      <c r="AG186" s="35"/>
    </row>
    <row r="187" spans="1:33" x14ac:dyDescent="0.25">
      <c r="A187" s="5"/>
      <c r="B187" s="14"/>
      <c r="C187" s="14"/>
      <c r="D187" s="6"/>
      <c r="E187" s="6"/>
      <c r="F187" s="25"/>
      <c r="G187" s="25"/>
      <c r="H187" s="25"/>
      <c r="I187" s="25"/>
      <c r="J187" s="25"/>
      <c r="K187" s="25"/>
      <c r="L187" s="25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35"/>
      <c r="Y187" s="35"/>
      <c r="Z187" s="36"/>
      <c r="AA187" s="35"/>
      <c r="AB187" s="35"/>
      <c r="AC187" s="35"/>
      <c r="AD187" s="35"/>
      <c r="AE187" s="35"/>
      <c r="AF187" s="35"/>
      <c r="AG187" s="35"/>
    </row>
    <row r="188" spans="1:33" x14ac:dyDescent="0.25">
      <c r="A188" s="5"/>
      <c r="B188" s="14"/>
      <c r="C188" s="14"/>
      <c r="D188" s="6"/>
      <c r="E188" s="6"/>
      <c r="F188" s="25"/>
      <c r="G188" s="25"/>
      <c r="H188" s="25"/>
      <c r="I188" s="25"/>
      <c r="J188" s="25"/>
      <c r="K188" s="25"/>
      <c r="L188" s="25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35"/>
      <c r="Y188" s="35"/>
      <c r="Z188" s="36"/>
      <c r="AA188" s="35"/>
      <c r="AB188" s="35"/>
      <c r="AC188" s="35"/>
      <c r="AD188" s="35"/>
      <c r="AE188" s="35"/>
      <c r="AF188" s="35"/>
      <c r="AG188" s="35"/>
    </row>
    <row r="189" spans="1:33" x14ac:dyDescent="0.25">
      <c r="A189" s="5"/>
      <c r="B189" s="14"/>
      <c r="C189" s="14"/>
      <c r="D189" s="6"/>
      <c r="E189" s="6"/>
      <c r="F189" s="25"/>
      <c r="G189" s="25"/>
      <c r="H189" s="25"/>
      <c r="I189" s="25"/>
      <c r="J189" s="25"/>
      <c r="K189" s="25"/>
      <c r="L189" s="25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35"/>
      <c r="Y189" s="35"/>
      <c r="Z189" s="36"/>
      <c r="AA189" s="35"/>
      <c r="AB189" s="35"/>
      <c r="AC189" s="35"/>
      <c r="AD189" s="35"/>
      <c r="AE189" s="35"/>
      <c r="AF189" s="35"/>
      <c r="AG189" s="35"/>
    </row>
    <row r="190" spans="1:33" x14ac:dyDescent="0.25">
      <c r="A190" s="5"/>
      <c r="B190" s="14"/>
      <c r="C190" s="14"/>
      <c r="D190" s="6"/>
      <c r="E190" s="6"/>
      <c r="F190" s="25"/>
      <c r="G190" s="25"/>
      <c r="H190" s="25"/>
      <c r="I190" s="25"/>
      <c r="J190" s="25"/>
      <c r="K190" s="25"/>
      <c r="L190" s="25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35"/>
      <c r="Y190" s="35"/>
      <c r="Z190" s="36"/>
      <c r="AA190" s="35"/>
      <c r="AB190" s="35"/>
      <c r="AC190" s="35"/>
      <c r="AD190" s="35"/>
      <c r="AE190" s="35"/>
      <c r="AF190" s="35"/>
      <c r="AG190" s="35"/>
    </row>
    <row r="191" spans="1:33" x14ac:dyDescent="0.25">
      <c r="A191" s="5"/>
      <c r="B191" s="14"/>
      <c r="C191" s="14"/>
      <c r="D191" s="6"/>
      <c r="E191" s="6"/>
      <c r="F191" s="25"/>
      <c r="G191" s="25"/>
      <c r="H191" s="25"/>
      <c r="I191" s="25"/>
      <c r="J191" s="25"/>
      <c r="K191" s="25"/>
      <c r="L191" s="25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35"/>
      <c r="Y191" s="35"/>
      <c r="Z191" s="36"/>
      <c r="AA191" s="35"/>
      <c r="AB191" s="35"/>
      <c r="AC191" s="35"/>
      <c r="AD191" s="35"/>
      <c r="AE191" s="35"/>
      <c r="AF191" s="35"/>
      <c r="AG191" s="35"/>
    </row>
    <row r="192" spans="1:33" x14ac:dyDescent="0.25">
      <c r="A192" s="5"/>
      <c r="B192" s="14"/>
      <c r="C192" s="14"/>
      <c r="D192" s="6"/>
      <c r="E192" s="6"/>
      <c r="F192" s="25"/>
      <c r="G192" s="25"/>
      <c r="H192" s="25"/>
      <c r="I192" s="25"/>
      <c r="J192" s="25"/>
      <c r="K192" s="25"/>
      <c r="L192" s="25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35"/>
      <c r="Y192" s="35"/>
      <c r="Z192" s="36"/>
      <c r="AA192" s="35"/>
      <c r="AB192" s="35"/>
      <c r="AC192" s="35"/>
      <c r="AD192" s="35"/>
      <c r="AE192" s="35"/>
      <c r="AF192" s="35"/>
      <c r="AG192" s="35"/>
    </row>
    <row r="193" spans="1:33" x14ac:dyDescent="0.25">
      <c r="A193" s="5"/>
      <c r="B193" s="14"/>
      <c r="C193" s="14"/>
      <c r="D193" s="6"/>
      <c r="E193" s="6"/>
      <c r="F193" s="25"/>
      <c r="G193" s="25"/>
      <c r="H193" s="25"/>
      <c r="I193" s="25"/>
      <c r="J193" s="25"/>
      <c r="K193" s="25"/>
      <c r="L193" s="25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35"/>
      <c r="Y193" s="35"/>
      <c r="Z193" s="36"/>
      <c r="AA193" s="35"/>
      <c r="AB193" s="35"/>
      <c r="AC193" s="35"/>
      <c r="AD193" s="35"/>
      <c r="AE193" s="35"/>
      <c r="AF193" s="35"/>
      <c r="AG193" s="35"/>
    </row>
    <row r="194" spans="1:33" x14ac:dyDescent="0.25">
      <c r="A194" s="5"/>
      <c r="B194" s="14"/>
      <c r="C194" s="14"/>
      <c r="D194" s="6"/>
      <c r="E194" s="6"/>
      <c r="F194" s="25"/>
      <c r="G194" s="25"/>
      <c r="H194" s="25"/>
      <c r="I194" s="25"/>
      <c r="J194" s="25"/>
      <c r="K194" s="25"/>
      <c r="L194" s="25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35"/>
      <c r="Y194" s="35"/>
      <c r="Z194" s="36"/>
      <c r="AA194" s="35"/>
      <c r="AB194" s="35"/>
      <c r="AC194" s="35"/>
      <c r="AD194" s="35"/>
      <c r="AE194" s="35"/>
      <c r="AF194" s="35"/>
      <c r="AG194" s="35"/>
    </row>
    <row r="195" spans="1:33" x14ac:dyDescent="0.25">
      <c r="A195" s="5"/>
      <c r="B195" s="14"/>
      <c r="C195" s="14"/>
      <c r="D195" s="6"/>
      <c r="E195" s="6"/>
      <c r="F195" s="25"/>
      <c r="G195" s="25"/>
      <c r="H195" s="25"/>
      <c r="I195" s="25"/>
      <c r="J195" s="25"/>
      <c r="K195" s="25"/>
      <c r="L195" s="25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35"/>
      <c r="Y195" s="35"/>
      <c r="Z195" s="36"/>
      <c r="AA195" s="35"/>
      <c r="AB195" s="35"/>
      <c r="AC195" s="35"/>
      <c r="AD195" s="35"/>
      <c r="AE195" s="35"/>
      <c r="AF195" s="35"/>
      <c r="AG195" s="35"/>
    </row>
    <row r="196" spans="1:33" x14ac:dyDescent="0.25">
      <c r="A196" s="5"/>
      <c r="B196" s="14"/>
      <c r="C196" s="14"/>
      <c r="D196" s="6"/>
      <c r="E196" s="6"/>
      <c r="F196" s="25"/>
      <c r="G196" s="25"/>
      <c r="H196" s="25"/>
      <c r="I196" s="25"/>
      <c r="J196" s="25"/>
      <c r="K196" s="25"/>
      <c r="L196" s="25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35"/>
      <c r="Y196" s="35"/>
      <c r="Z196" s="36"/>
      <c r="AA196" s="35"/>
      <c r="AB196" s="35"/>
      <c r="AC196" s="35"/>
      <c r="AD196" s="35"/>
      <c r="AE196" s="35"/>
      <c r="AF196" s="35"/>
      <c r="AG196" s="35"/>
    </row>
    <row r="197" spans="1:33" x14ac:dyDescent="0.25">
      <c r="A197" s="5"/>
      <c r="B197" s="14"/>
      <c r="C197" s="14"/>
      <c r="D197" s="6"/>
      <c r="E197" s="6"/>
      <c r="F197" s="25"/>
      <c r="G197" s="25"/>
      <c r="H197" s="25"/>
      <c r="I197" s="25"/>
      <c r="J197" s="25"/>
      <c r="K197" s="25"/>
      <c r="L197" s="25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35"/>
      <c r="Y197" s="35"/>
      <c r="Z197" s="36"/>
      <c r="AA197" s="35"/>
      <c r="AB197" s="35"/>
      <c r="AC197" s="35"/>
      <c r="AD197" s="35"/>
      <c r="AE197" s="35"/>
      <c r="AF197" s="35"/>
      <c r="AG197" s="35"/>
    </row>
    <row r="198" spans="1:33" x14ac:dyDescent="0.25">
      <c r="A198" s="5"/>
      <c r="B198" s="14"/>
      <c r="C198" s="14"/>
      <c r="D198" s="6"/>
      <c r="E198" s="6"/>
      <c r="F198" s="25"/>
      <c r="G198" s="25"/>
      <c r="H198" s="25"/>
      <c r="I198" s="25"/>
      <c r="J198" s="25"/>
      <c r="K198" s="25"/>
      <c r="L198" s="25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35"/>
      <c r="Y198" s="35"/>
      <c r="Z198" s="36"/>
      <c r="AA198" s="35"/>
      <c r="AB198" s="35"/>
      <c r="AC198" s="35"/>
      <c r="AD198" s="35"/>
      <c r="AE198" s="35"/>
      <c r="AF198" s="35"/>
      <c r="AG198" s="35"/>
    </row>
    <row r="199" spans="1:33" x14ac:dyDescent="0.25">
      <c r="A199" s="5"/>
      <c r="B199" s="14"/>
      <c r="C199" s="14"/>
      <c r="D199" s="6"/>
      <c r="E199" s="6"/>
      <c r="F199" s="25"/>
      <c r="G199" s="25"/>
      <c r="H199" s="25"/>
      <c r="I199" s="25"/>
      <c r="J199" s="25"/>
      <c r="K199" s="25"/>
      <c r="L199" s="25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35"/>
      <c r="Y199" s="35"/>
      <c r="Z199" s="36"/>
      <c r="AA199" s="35"/>
      <c r="AB199" s="35"/>
      <c r="AC199" s="35"/>
      <c r="AD199" s="35"/>
      <c r="AE199" s="35"/>
      <c r="AF199" s="35"/>
      <c r="AG199" s="35"/>
    </row>
    <row r="200" spans="1:33" x14ac:dyDescent="0.25">
      <c r="A200" s="5"/>
      <c r="B200" s="14"/>
      <c r="C200" s="14"/>
      <c r="D200" s="6"/>
      <c r="E200" s="6"/>
      <c r="F200" s="25"/>
      <c r="G200" s="25"/>
      <c r="H200" s="25"/>
      <c r="I200" s="25"/>
      <c r="J200" s="25"/>
      <c r="K200" s="25"/>
      <c r="L200" s="25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35"/>
      <c r="Y200" s="35"/>
      <c r="Z200" s="36"/>
      <c r="AA200" s="35"/>
      <c r="AB200" s="35"/>
      <c r="AC200" s="35"/>
      <c r="AD200" s="35"/>
      <c r="AE200" s="35"/>
      <c r="AF200" s="35"/>
      <c r="AG200" s="35"/>
    </row>
    <row r="201" spans="1:33" x14ac:dyDescent="0.25">
      <c r="A201" s="5"/>
      <c r="B201" s="14"/>
      <c r="C201" s="14"/>
      <c r="D201" s="6"/>
      <c r="E201" s="6"/>
      <c r="F201" s="25"/>
      <c r="G201" s="25"/>
      <c r="H201" s="25"/>
      <c r="I201" s="25"/>
      <c r="J201" s="25"/>
      <c r="K201" s="25"/>
      <c r="L201" s="25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35"/>
      <c r="Y201" s="35"/>
      <c r="Z201" s="36"/>
      <c r="AA201" s="35"/>
      <c r="AB201" s="35"/>
      <c r="AC201" s="35"/>
      <c r="AD201" s="35"/>
      <c r="AE201" s="35"/>
      <c r="AF201" s="35"/>
      <c r="AG201" s="35"/>
    </row>
    <row r="202" spans="1:33" x14ac:dyDescent="0.25">
      <c r="A202" s="5"/>
      <c r="B202" s="14"/>
      <c r="C202" s="14"/>
      <c r="D202" s="6"/>
      <c r="E202" s="6"/>
      <c r="F202" s="25"/>
      <c r="G202" s="25"/>
      <c r="H202" s="25"/>
      <c r="I202" s="25"/>
      <c r="J202" s="25"/>
      <c r="K202" s="25"/>
      <c r="L202" s="25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35"/>
      <c r="Y202" s="35"/>
      <c r="Z202" s="36"/>
      <c r="AA202" s="35"/>
      <c r="AB202" s="35"/>
      <c r="AC202" s="35"/>
      <c r="AD202" s="35"/>
      <c r="AE202" s="35"/>
      <c r="AF202" s="35"/>
      <c r="AG202" s="35"/>
    </row>
    <row r="203" spans="1:33" x14ac:dyDescent="0.25">
      <c r="A203" s="5"/>
      <c r="B203" s="14"/>
      <c r="C203" s="14"/>
      <c r="D203" s="6"/>
      <c r="E203" s="6"/>
      <c r="F203" s="25"/>
      <c r="G203" s="25"/>
      <c r="H203" s="25"/>
      <c r="I203" s="25"/>
      <c r="J203" s="25"/>
      <c r="K203" s="25"/>
      <c r="L203" s="25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35"/>
      <c r="Y203" s="35"/>
      <c r="Z203" s="36"/>
      <c r="AA203" s="35"/>
      <c r="AB203" s="35"/>
      <c r="AC203" s="35"/>
      <c r="AD203" s="35"/>
      <c r="AE203" s="35"/>
      <c r="AF203" s="35"/>
      <c r="AG203" s="35"/>
    </row>
    <row r="204" spans="1:33" x14ac:dyDescent="0.25">
      <c r="A204" s="5"/>
      <c r="B204" s="14"/>
      <c r="C204" s="14"/>
      <c r="D204" s="6"/>
      <c r="E204" s="6"/>
      <c r="F204" s="25"/>
      <c r="G204" s="25"/>
      <c r="H204" s="25"/>
      <c r="I204" s="25"/>
      <c r="J204" s="25"/>
      <c r="K204" s="25"/>
      <c r="L204" s="25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35"/>
      <c r="Y204" s="35"/>
      <c r="Z204" s="36"/>
      <c r="AA204" s="35"/>
      <c r="AB204" s="35"/>
      <c r="AC204" s="35"/>
      <c r="AD204" s="35"/>
      <c r="AE204" s="35"/>
      <c r="AF204" s="35"/>
      <c r="AG204" s="35"/>
    </row>
    <row r="205" spans="1:33" x14ac:dyDescent="0.25">
      <c r="A205" s="5"/>
      <c r="B205" s="14"/>
      <c r="C205" s="14"/>
      <c r="D205" s="6"/>
      <c r="E205" s="6"/>
      <c r="F205" s="25"/>
      <c r="G205" s="25"/>
      <c r="H205" s="25"/>
      <c r="I205" s="25"/>
      <c r="J205" s="25"/>
      <c r="K205" s="25"/>
      <c r="L205" s="25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35"/>
      <c r="Y205" s="35"/>
      <c r="Z205" s="36"/>
      <c r="AA205" s="35"/>
      <c r="AB205" s="35"/>
      <c r="AC205" s="35"/>
      <c r="AD205" s="35"/>
      <c r="AE205" s="35"/>
      <c r="AF205" s="35"/>
      <c r="AG205" s="35"/>
    </row>
    <row r="206" spans="1:33" x14ac:dyDescent="0.25">
      <c r="A206" s="5"/>
      <c r="B206" s="14"/>
      <c r="C206" s="14"/>
      <c r="D206" s="6"/>
      <c r="E206" s="6"/>
      <c r="F206" s="25"/>
      <c r="G206" s="25"/>
      <c r="H206" s="25"/>
      <c r="I206" s="25"/>
      <c r="J206" s="25"/>
      <c r="K206" s="25"/>
      <c r="L206" s="25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35"/>
      <c r="Y206" s="35"/>
      <c r="Z206" s="36"/>
      <c r="AA206" s="35"/>
      <c r="AB206" s="35"/>
      <c r="AC206" s="35"/>
      <c r="AD206" s="35"/>
      <c r="AE206" s="35"/>
      <c r="AF206" s="35"/>
      <c r="AG206" s="35"/>
    </row>
    <row r="207" spans="1:33" x14ac:dyDescent="0.25">
      <c r="A207" s="5"/>
      <c r="B207" s="14"/>
      <c r="C207" s="14"/>
      <c r="D207" s="6"/>
      <c r="E207" s="6"/>
      <c r="F207" s="25"/>
      <c r="G207" s="25"/>
      <c r="H207" s="25"/>
      <c r="I207" s="25"/>
      <c r="J207" s="25"/>
      <c r="K207" s="25"/>
      <c r="L207" s="25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35"/>
      <c r="Y207" s="35"/>
      <c r="Z207" s="36"/>
      <c r="AA207" s="35"/>
      <c r="AB207" s="35"/>
      <c r="AC207" s="35"/>
      <c r="AD207" s="35"/>
      <c r="AE207" s="35"/>
      <c r="AF207" s="35"/>
      <c r="AG207" s="35"/>
    </row>
    <row r="208" spans="1:33" x14ac:dyDescent="0.25">
      <c r="A208" s="5"/>
      <c r="B208" s="14"/>
      <c r="C208" s="14"/>
      <c r="D208" s="6"/>
      <c r="E208" s="6"/>
      <c r="F208" s="25"/>
      <c r="G208" s="25"/>
      <c r="H208" s="25"/>
      <c r="I208" s="25"/>
      <c r="J208" s="25"/>
      <c r="K208" s="25"/>
      <c r="L208" s="25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35"/>
      <c r="Y208" s="35"/>
      <c r="Z208" s="36"/>
      <c r="AA208" s="35"/>
      <c r="AB208" s="35"/>
      <c r="AC208" s="35"/>
      <c r="AD208" s="35"/>
      <c r="AE208" s="35"/>
      <c r="AF208" s="35"/>
      <c r="AG208" s="35"/>
    </row>
    <row r="209" spans="1:33" x14ac:dyDescent="0.25">
      <c r="A209" s="5"/>
      <c r="B209" s="14"/>
      <c r="C209" s="14"/>
      <c r="D209" s="6"/>
      <c r="E209" s="6"/>
      <c r="F209" s="25"/>
      <c r="G209" s="25"/>
      <c r="H209" s="25"/>
      <c r="I209" s="25"/>
      <c r="J209" s="25"/>
      <c r="K209" s="25"/>
      <c r="L209" s="25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35"/>
      <c r="Y209" s="35"/>
      <c r="Z209" s="36"/>
      <c r="AA209" s="35"/>
      <c r="AB209" s="35"/>
      <c r="AC209" s="35"/>
      <c r="AD209" s="35"/>
      <c r="AE209" s="35"/>
      <c r="AF209" s="35"/>
      <c r="AG209" s="35"/>
    </row>
    <row r="210" spans="1:33" x14ac:dyDescent="0.25">
      <c r="A210" s="5"/>
      <c r="B210" s="14"/>
      <c r="C210" s="14"/>
      <c r="D210" s="6"/>
      <c r="E210" s="6"/>
      <c r="F210" s="25"/>
      <c r="G210" s="25"/>
      <c r="H210" s="25"/>
      <c r="I210" s="25"/>
      <c r="J210" s="25"/>
      <c r="K210" s="25"/>
      <c r="L210" s="25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35"/>
      <c r="Y210" s="35"/>
      <c r="Z210" s="36"/>
      <c r="AA210" s="35"/>
      <c r="AB210" s="35"/>
      <c r="AC210" s="35"/>
      <c r="AD210" s="35"/>
      <c r="AE210" s="35"/>
      <c r="AF210" s="35"/>
      <c r="AG210" s="35"/>
    </row>
    <row r="211" spans="1:33" x14ac:dyDescent="0.25">
      <c r="A211" s="5"/>
      <c r="B211" s="14"/>
      <c r="C211" s="14"/>
      <c r="D211" s="6"/>
      <c r="E211" s="6"/>
      <c r="F211" s="25"/>
      <c r="G211" s="25"/>
      <c r="H211" s="25"/>
      <c r="I211" s="25"/>
      <c r="J211" s="25"/>
      <c r="K211" s="25"/>
      <c r="L211" s="25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35"/>
      <c r="Y211" s="35"/>
      <c r="Z211" s="36"/>
      <c r="AA211" s="35"/>
      <c r="AB211" s="35"/>
      <c r="AC211" s="35"/>
      <c r="AD211" s="35"/>
      <c r="AE211" s="35"/>
      <c r="AF211" s="35"/>
      <c r="AG211" s="35"/>
    </row>
    <row r="212" spans="1:33" x14ac:dyDescent="0.25">
      <c r="A212" s="5"/>
      <c r="B212" s="14"/>
      <c r="C212" s="14"/>
      <c r="D212" s="6"/>
      <c r="E212" s="6"/>
      <c r="F212" s="25"/>
      <c r="G212" s="25"/>
      <c r="H212" s="25"/>
      <c r="I212" s="25"/>
      <c r="J212" s="25"/>
      <c r="K212" s="25"/>
      <c r="L212" s="25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35"/>
      <c r="Y212" s="35"/>
      <c r="Z212" s="36"/>
      <c r="AA212" s="35"/>
      <c r="AB212" s="35"/>
      <c r="AC212" s="35"/>
      <c r="AD212" s="35"/>
      <c r="AE212" s="35"/>
      <c r="AF212" s="35"/>
      <c r="AG212" s="35"/>
    </row>
    <row r="213" spans="1:33" x14ac:dyDescent="0.25">
      <c r="A213" s="5"/>
      <c r="B213" s="14"/>
      <c r="C213" s="14"/>
      <c r="D213" s="6"/>
      <c r="E213" s="6"/>
      <c r="F213" s="25"/>
      <c r="G213" s="25"/>
      <c r="H213" s="25"/>
      <c r="I213" s="25"/>
      <c r="J213" s="25"/>
      <c r="K213" s="25"/>
      <c r="L213" s="25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35"/>
      <c r="Y213" s="35"/>
      <c r="Z213" s="36"/>
      <c r="AA213" s="35"/>
      <c r="AB213" s="35"/>
      <c r="AC213" s="35"/>
      <c r="AD213" s="35"/>
      <c r="AE213" s="35"/>
      <c r="AF213" s="35"/>
      <c r="AG213" s="35"/>
    </row>
    <row r="214" spans="1:33" x14ac:dyDescent="0.25">
      <c r="A214" s="5"/>
      <c r="B214" s="14"/>
      <c r="C214" s="14"/>
      <c r="D214" s="6"/>
      <c r="E214" s="6"/>
      <c r="F214" s="25"/>
      <c r="G214" s="25"/>
      <c r="H214" s="25"/>
      <c r="I214" s="25"/>
      <c r="J214" s="25"/>
      <c r="K214" s="25"/>
      <c r="L214" s="25"/>
      <c r="M214" s="28"/>
      <c r="N214" s="28"/>
      <c r="O214" s="28"/>
      <c r="P214" s="28"/>
      <c r="Q214" s="28"/>
      <c r="R214" s="28"/>
      <c r="S214" s="28"/>
      <c r="T214" s="28"/>
      <c r="U214" s="28"/>
      <c r="V214" s="25"/>
      <c r="W214" s="28"/>
      <c r="X214" s="35"/>
      <c r="Y214" s="35"/>
      <c r="Z214" s="36"/>
      <c r="AA214" s="35"/>
      <c r="AB214" s="35"/>
      <c r="AC214" s="35"/>
      <c r="AD214" s="35"/>
      <c r="AE214" s="35"/>
      <c r="AF214" s="35"/>
      <c r="AG214" s="35"/>
    </row>
    <row r="215" spans="1:33" x14ac:dyDescent="0.25">
      <c r="A215" s="5"/>
      <c r="B215" s="14"/>
      <c r="C215" s="14"/>
      <c r="D215" s="6"/>
      <c r="E215" s="6"/>
      <c r="F215" s="25"/>
      <c r="G215" s="25"/>
      <c r="H215" s="25"/>
      <c r="I215" s="25"/>
      <c r="J215" s="25"/>
      <c r="K215" s="25"/>
      <c r="L215" s="25"/>
      <c r="M215" s="28"/>
      <c r="N215" s="28"/>
      <c r="O215" s="28"/>
      <c r="P215" s="28"/>
      <c r="Q215" s="28"/>
      <c r="R215" s="28"/>
      <c r="S215" s="28"/>
      <c r="T215" s="28"/>
      <c r="U215" s="28"/>
      <c r="V215" s="25"/>
      <c r="W215" s="28"/>
      <c r="X215" s="35"/>
      <c r="Y215" s="35"/>
      <c r="Z215" s="36"/>
      <c r="AA215" s="35"/>
      <c r="AB215" s="35"/>
      <c r="AC215" s="35"/>
      <c r="AD215" s="35"/>
      <c r="AE215" s="35"/>
      <c r="AF215" s="35"/>
      <c r="AG215" s="35"/>
    </row>
    <row r="216" spans="1:33" x14ac:dyDescent="0.25">
      <c r="A216" s="5"/>
      <c r="B216" s="14"/>
      <c r="C216" s="14"/>
      <c r="D216" s="6"/>
      <c r="E216" s="6"/>
      <c r="F216" s="25"/>
      <c r="G216" s="25"/>
      <c r="H216" s="25"/>
      <c r="I216" s="25"/>
      <c r="J216" s="25"/>
      <c r="K216" s="25"/>
      <c r="L216" s="25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35"/>
      <c r="Y216" s="35"/>
      <c r="Z216" s="36"/>
    </row>
    <row r="217" spans="1:33" x14ac:dyDescent="0.25">
      <c r="A217" s="5"/>
      <c r="B217" s="14"/>
      <c r="C217" s="14"/>
      <c r="D217" s="6"/>
      <c r="E217" s="6"/>
      <c r="F217" s="25"/>
      <c r="G217" s="25"/>
      <c r="H217" s="25"/>
      <c r="I217" s="25"/>
      <c r="J217" s="25"/>
      <c r="K217" s="25"/>
      <c r="L217" s="25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35"/>
      <c r="Y217" s="35"/>
      <c r="Z217" s="36"/>
    </row>
    <row r="218" spans="1:33" x14ac:dyDescent="0.25">
      <c r="A218" s="5"/>
      <c r="B218" s="14"/>
      <c r="C218" s="14"/>
      <c r="D218" s="6"/>
      <c r="E218" s="6"/>
      <c r="F218" s="25"/>
      <c r="G218" s="25"/>
      <c r="H218" s="25"/>
      <c r="I218" s="25"/>
      <c r="J218" s="25"/>
      <c r="K218" s="25"/>
      <c r="L218" s="25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35"/>
      <c r="Y218" s="35"/>
      <c r="Z218" s="36"/>
    </row>
    <row r="219" spans="1:33" x14ac:dyDescent="0.25">
      <c r="A219" s="5"/>
      <c r="B219" s="14"/>
      <c r="C219" s="14"/>
      <c r="D219" s="6"/>
      <c r="E219" s="6"/>
      <c r="F219" s="25"/>
      <c r="G219" s="25"/>
      <c r="H219" s="25"/>
      <c r="I219" s="25"/>
      <c r="J219" s="25"/>
      <c r="K219" s="25"/>
      <c r="L219" s="25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35"/>
      <c r="Y219" s="35"/>
      <c r="Z219" s="36"/>
    </row>
    <row r="220" spans="1:33" x14ac:dyDescent="0.25">
      <c r="A220" s="5"/>
      <c r="B220" s="14"/>
      <c r="C220" s="14"/>
      <c r="D220" s="6"/>
      <c r="E220" s="6"/>
      <c r="F220" s="25"/>
      <c r="G220" s="25"/>
      <c r="H220" s="25"/>
      <c r="I220" s="25"/>
      <c r="J220" s="25"/>
      <c r="K220" s="25"/>
      <c r="L220" s="25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35"/>
      <c r="Y220" s="35"/>
      <c r="Z220" s="36"/>
    </row>
    <row r="221" spans="1:33" x14ac:dyDescent="0.25">
      <c r="A221" s="5"/>
      <c r="B221" s="14"/>
      <c r="C221" s="14"/>
      <c r="D221" s="6"/>
      <c r="E221" s="6"/>
      <c r="F221" s="25"/>
      <c r="G221" s="25"/>
      <c r="H221" s="25"/>
      <c r="I221" s="25"/>
      <c r="J221" s="25"/>
      <c r="K221" s="25"/>
      <c r="L221" s="25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35"/>
      <c r="Y221" s="35"/>
      <c r="Z221" s="36"/>
    </row>
    <row r="222" spans="1:33" x14ac:dyDescent="0.25">
      <c r="A222" s="5"/>
      <c r="B222" s="14"/>
      <c r="C222" s="14"/>
      <c r="D222" s="6"/>
      <c r="E222" s="6"/>
      <c r="F222" s="25"/>
      <c r="G222" s="25"/>
      <c r="H222" s="25"/>
      <c r="I222" s="25"/>
      <c r="J222" s="25"/>
      <c r="K222" s="25"/>
      <c r="L222" s="25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35"/>
    </row>
    <row r="223" spans="1:33" x14ac:dyDescent="0.25">
      <c r="A223" s="5"/>
      <c r="B223" s="14"/>
      <c r="C223" s="14"/>
      <c r="D223" s="6"/>
      <c r="E223" s="6"/>
      <c r="F223" s="25"/>
      <c r="G223" s="25"/>
      <c r="H223" s="25"/>
      <c r="I223" s="25"/>
      <c r="J223" s="25"/>
      <c r="K223" s="25"/>
      <c r="L223" s="25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35"/>
    </row>
    <row r="224" spans="1:33" x14ac:dyDescent="0.25">
      <c r="A224" s="5"/>
      <c r="B224" s="14"/>
      <c r="C224" s="14"/>
      <c r="D224" s="6"/>
      <c r="E224" s="6"/>
      <c r="F224" s="25"/>
      <c r="G224" s="25"/>
      <c r="H224" s="25"/>
      <c r="I224" s="25"/>
      <c r="J224" s="25"/>
      <c r="K224" s="25"/>
      <c r="L224" s="25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35"/>
    </row>
    <row r="225" spans="1:24" x14ac:dyDescent="0.25">
      <c r="A225" s="5"/>
      <c r="B225" s="14"/>
      <c r="C225" s="14"/>
      <c r="D225" s="6"/>
      <c r="E225" s="6"/>
      <c r="F225" s="25"/>
      <c r="G225" s="25"/>
      <c r="H225" s="25"/>
      <c r="I225" s="25"/>
      <c r="J225" s="25"/>
      <c r="K225" s="25"/>
      <c r="L225" s="25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35"/>
    </row>
    <row r="226" spans="1:24" x14ac:dyDescent="0.25">
      <c r="A226" s="5"/>
      <c r="B226" s="14"/>
      <c r="C226" s="14"/>
      <c r="D226" s="6"/>
      <c r="E226" s="6"/>
      <c r="F226" s="25"/>
      <c r="G226" s="25"/>
      <c r="H226" s="25"/>
      <c r="I226" s="25"/>
      <c r="J226" s="25"/>
      <c r="K226" s="25"/>
      <c r="L226" s="25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35"/>
    </row>
    <row r="227" spans="1:24" x14ac:dyDescent="0.25">
      <c r="A227" s="5"/>
      <c r="B227" s="14"/>
      <c r="C227" s="14"/>
      <c r="D227" s="6"/>
      <c r="E227" s="6"/>
      <c r="F227" s="25"/>
      <c r="G227" s="25"/>
      <c r="H227" s="25"/>
      <c r="I227" s="25"/>
      <c r="J227" s="25"/>
      <c r="K227" s="25"/>
      <c r="L227" s="25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35"/>
    </row>
    <row r="228" spans="1:24" x14ac:dyDescent="0.25">
      <c r="A228" s="5"/>
      <c r="B228" s="14"/>
      <c r="C228" s="14"/>
      <c r="D228" s="6"/>
      <c r="E228" s="6"/>
      <c r="F228" s="25"/>
      <c r="G228" s="25"/>
      <c r="H228" s="25"/>
      <c r="I228" s="25"/>
      <c r="J228" s="25"/>
      <c r="K228" s="25"/>
      <c r="L228" s="25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35"/>
    </row>
    <row r="229" spans="1:24" x14ac:dyDescent="0.25">
      <c r="A229" s="5"/>
      <c r="B229" s="14"/>
      <c r="C229" s="14"/>
      <c r="D229" s="6"/>
      <c r="E229" s="6"/>
      <c r="F229" s="25"/>
      <c r="G229" s="25"/>
      <c r="H229" s="25"/>
      <c r="I229" s="25"/>
      <c r="J229" s="25"/>
      <c r="K229" s="25"/>
      <c r="L229" s="25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35"/>
    </row>
    <row r="230" spans="1:24" x14ac:dyDescent="0.25">
      <c r="A230" s="5"/>
      <c r="B230" s="14"/>
      <c r="C230" s="14"/>
      <c r="D230" s="6"/>
      <c r="E230" s="6"/>
      <c r="F230" s="25"/>
      <c r="G230" s="25"/>
      <c r="H230" s="25"/>
      <c r="I230" s="25"/>
      <c r="J230" s="25"/>
      <c r="K230" s="25"/>
      <c r="L230" s="25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35"/>
    </row>
    <row r="231" spans="1:24" x14ac:dyDescent="0.25">
      <c r="A231" s="5"/>
      <c r="B231" s="14"/>
      <c r="C231" s="14"/>
      <c r="D231" s="6"/>
      <c r="E231" s="6"/>
      <c r="F231" s="25"/>
      <c r="G231" s="25"/>
      <c r="H231" s="25"/>
      <c r="I231" s="25"/>
      <c r="J231" s="25"/>
      <c r="K231" s="25"/>
      <c r="L231" s="25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35"/>
    </row>
    <row r="232" spans="1:24" x14ac:dyDescent="0.25">
      <c r="A232" s="5"/>
      <c r="B232" s="14"/>
      <c r="C232" s="14"/>
      <c r="D232" s="6"/>
      <c r="E232" s="6"/>
      <c r="F232" s="25"/>
      <c r="G232" s="25"/>
      <c r="H232" s="25"/>
      <c r="I232" s="25"/>
      <c r="J232" s="25"/>
      <c r="K232" s="25"/>
      <c r="L232" s="25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35"/>
    </row>
    <row r="233" spans="1:24" x14ac:dyDescent="0.25">
      <c r="A233" s="5"/>
      <c r="B233" s="14"/>
      <c r="C233" s="14"/>
      <c r="D233" s="6"/>
      <c r="E233" s="6"/>
      <c r="F233" s="25"/>
      <c r="G233" s="25"/>
      <c r="H233" s="25"/>
      <c r="I233" s="25"/>
      <c r="J233" s="25"/>
      <c r="K233" s="25"/>
      <c r="L233" s="25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35"/>
    </row>
    <row r="234" spans="1:24" x14ac:dyDescent="0.25">
      <c r="A234" s="5"/>
      <c r="B234" s="14"/>
      <c r="C234" s="14"/>
      <c r="D234" s="6"/>
      <c r="E234" s="6"/>
      <c r="F234" s="25"/>
      <c r="G234" s="25"/>
      <c r="H234" s="25"/>
      <c r="I234" s="25"/>
      <c r="J234" s="25"/>
      <c r="K234" s="25"/>
      <c r="L234" s="25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35"/>
    </row>
    <row r="235" spans="1:24" x14ac:dyDescent="0.25">
      <c r="A235" s="5"/>
      <c r="B235" s="14"/>
      <c r="C235" s="14"/>
      <c r="D235" s="6"/>
      <c r="E235" s="6"/>
      <c r="F235" s="25"/>
      <c r="G235" s="25"/>
      <c r="H235" s="25"/>
      <c r="I235" s="25"/>
      <c r="J235" s="25"/>
      <c r="K235" s="25"/>
      <c r="L235" s="25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35"/>
    </row>
    <row r="236" spans="1:24" x14ac:dyDescent="0.25">
      <c r="A236" s="5"/>
      <c r="B236" s="14"/>
      <c r="C236" s="14"/>
      <c r="D236" s="6"/>
      <c r="E236" s="6"/>
      <c r="F236" s="25"/>
      <c r="G236" s="25"/>
      <c r="H236" s="25"/>
      <c r="I236" s="25"/>
      <c r="J236" s="25"/>
      <c r="K236" s="25"/>
      <c r="L236" s="25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35"/>
    </row>
    <row r="237" spans="1:24" x14ac:dyDescent="0.25">
      <c r="A237" s="5"/>
      <c r="B237" s="14"/>
      <c r="C237" s="14"/>
      <c r="D237" s="6"/>
      <c r="E237" s="6"/>
      <c r="F237" s="25"/>
      <c r="G237" s="25"/>
      <c r="H237" s="25"/>
      <c r="I237" s="25"/>
      <c r="J237" s="25"/>
      <c r="K237" s="25"/>
      <c r="L237" s="25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35"/>
    </row>
    <row r="238" spans="1:24" x14ac:dyDescent="0.25">
      <c r="A238" s="5"/>
      <c r="B238" s="14"/>
      <c r="C238" s="14"/>
      <c r="D238" s="6"/>
      <c r="E238" s="6"/>
      <c r="F238" s="25"/>
      <c r="G238" s="25"/>
      <c r="H238" s="25"/>
      <c r="I238" s="25"/>
      <c r="J238" s="25"/>
      <c r="K238" s="25"/>
      <c r="L238" s="25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35"/>
    </row>
    <row r="239" spans="1:24" x14ac:dyDescent="0.25">
      <c r="A239" s="5"/>
      <c r="B239" s="14"/>
      <c r="C239" s="14"/>
      <c r="D239" s="6"/>
      <c r="E239" s="6"/>
      <c r="F239" s="25"/>
      <c r="G239" s="25"/>
      <c r="H239" s="25"/>
      <c r="I239" s="25"/>
      <c r="J239" s="25"/>
      <c r="K239" s="25"/>
      <c r="L239" s="25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35"/>
    </row>
    <row r="240" spans="1:24" x14ac:dyDescent="0.25">
      <c r="A240" s="5"/>
      <c r="B240" s="14"/>
      <c r="C240" s="14"/>
      <c r="D240" s="6"/>
      <c r="E240" s="6"/>
      <c r="F240" s="25"/>
      <c r="G240" s="25"/>
      <c r="H240" s="25"/>
      <c r="I240" s="25"/>
      <c r="J240" s="25"/>
      <c r="K240" s="25"/>
      <c r="L240" s="25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35"/>
    </row>
    <row r="241" spans="1:33" x14ac:dyDescent="0.25">
      <c r="A241" s="5"/>
      <c r="B241" s="14"/>
      <c r="C241" s="14"/>
      <c r="D241" s="6"/>
      <c r="E241" s="6"/>
      <c r="F241" s="25"/>
      <c r="G241" s="25"/>
      <c r="H241" s="25"/>
      <c r="I241" s="25"/>
      <c r="J241" s="25"/>
      <c r="K241" s="25"/>
      <c r="L241" s="25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35"/>
    </row>
    <row r="242" spans="1:33" x14ac:dyDescent="0.25">
      <c r="A242" s="5"/>
      <c r="B242" s="14"/>
      <c r="C242" s="14"/>
      <c r="D242" s="6"/>
      <c r="E242" s="6"/>
      <c r="F242" s="25"/>
      <c r="G242" s="25"/>
      <c r="H242" s="25"/>
      <c r="I242" s="25"/>
      <c r="J242" s="25"/>
      <c r="K242" s="25"/>
      <c r="L242" s="25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35"/>
    </row>
    <row r="243" spans="1:33" x14ac:dyDescent="0.25">
      <c r="A243" s="5"/>
      <c r="B243" s="14"/>
      <c r="C243" s="14"/>
      <c r="D243" s="6"/>
      <c r="E243" s="6"/>
      <c r="F243" s="25"/>
      <c r="G243" s="25"/>
      <c r="H243" s="25"/>
      <c r="I243" s="25"/>
      <c r="J243" s="25"/>
      <c r="K243" s="25"/>
      <c r="L243" s="25"/>
      <c r="M243" s="28"/>
      <c r="N243" s="28"/>
      <c r="O243" s="28"/>
      <c r="P243" s="28"/>
      <c r="Q243" s="28"/>
      <c r="R243" s="28"/>
      <c r="S243" s="28"/>
      <c r="T243" s="28"/>
      <c r="U243" s="28"/>
      <c r="V243" s="25"/>
      <c r="W243" s="28"/>
      <c r="X243" s="35"/>
      <c r="Y243" s="35"/>
    </row>
    <row r="244" spans="1:33" x14ac:dyDescent="0.25">
      <c r="A244" s="5"/>
      <c r="B244" s="14"/>
      <c r="C244" s="14"/>
      <c r="D244" s="6"/>
      <c r="E244" s="6"/>
      <c r="F244" s="25"/>
      <c r="G244" s="25"/>
      <c r="H244" s="25"/>
      <c r="I244" s="25"/>
      <c r="J244" s="25"/>
      <c r="K244" s="25"/>
      <c r="L244" s="25"/>
      <c r="M244" s="28"/>
      <c r="N244" s="28"/>
      <c r="O244" s="28"/>
      <c r="P244" s="28"/>
      <c r="Q244" s="28"/>
      <c r="R244" s="28"/>
      <c r="S244" s="28"/>
      <c r="T244" s="28"/>
      <c r="U244" s="28"/>
      <c r="V244" s="25"/>
      <c r="W244" s="28"/>
      <c r="X244" s="35"/>
    </row>
    <row r="245" spans="1:33" x14ac:dyDescent="0.25">
      <c r="A245" s="5"/>
      <c r="B245" s="14"/>
      <c r="C245" s="14"/>
      <c r="D245" s="6"/>
      <c r="E245" s="6"/>
      <c r="F245" s="25"/>
      <c r="G245" s="25"/>
      <c r="H245" s="25"/>
      <c r="I245" s="25"/>
      <c r="J245" s="25"/>
      <c r="K245" s="25"/>
      <c r="L245" s="25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35"/>
      <c r="Y245" s="35"/>
      <c r="Z245" s="36"/>
      <c r="AA245" s="35"/>
      <c r="AB245" s="35"/>
      <c r="AC245" s="35"/>
      <c r="AD245" s="35"/>
      <c r="AE245" s="35"/>
      <c r="AF245" s="35"/>
      <c r="AG245" s="35"/>
    </row>
    <row r="246" spans="1:33" x14ac:dyDescent="0.25">
      <c r="A246" s="5"/>
      <c r="B246" s="14"/>
      <c r="C246" s="14"/>
      <c r="D246" s="6"/>
      <c r="E246" s="6"/>
      <c r="F246" s="25"/>
      <c r="G246" s="25"/>
      <c r="H246" s="25"/>
      <c r="I246" s="25"/>
      <c r="J246" s="25"/>
      <c r="K246" s="25"/>
      <c r="L246" s="25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35"/>
      <c r="Y246" s="35"/>
      <c r="Z246" s="36"/>
      <c r="AA246" s="35"/>
      <c r="AB246" s="35"/>
      <c r="AC246" s="35"/>
      <c r="AD246" s="35"/>
      <c r="AE246" s="35"/>
      <c r="AF246" s="35"/>
    </row>
    <row r="247" spans="1:33" x14ac:dyDescent="0.25">
      <c r="A247" s="5"/>
      <c r="B247" s="14"/>
      <c r="C247" s="14"/>
      <c r="D247" s="6"/>
      <c r="E247" s="6"/>
      <c r="F247" s="25"/>
      <c r="G247" s="25"/>
      <c r="H247" s="25"/>
      <c r="I247" s="25"/>
      <c r="J247" s="25"/>
      <c r="K247" s="25"/>
      <c r="L247" s="25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35"/>
      <c r="Y247" s="35"/>
      <c r="Z247" s="36"/>
      <c r="AA247" s="35"/>
      <c r="AB247" s="35"/>
      <c r="AC247" s="35"/>
      <c r="AD247" s="35"/>
      <c r="AE247" s="35"/>
      <c r="AF247" s="35"/>
    </row>
    <row r="248" spans="1:33" x14ac:dyDescent="0.25">
      <c r="A248" s="5"/>
      <c r="B248" s="14"/>
      <c r="C248" s="14"/>
      <c r="D248" s="6"/>
      <c r="E248" s="6"/>
      <c r="F248" s="25"/>
      <c r="G248" s="25"/>
      <c r="H248" s="25"/>
      <c r="I248" s="25"/>
      <c r="J248" s="25"/>
      <c r="K248" s="25"/>
      <c r="L248" s="25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35"/>
      <c r="Y248" s="35"/>
      <c r="Z248" s="36"/>
      <c r="AA248" s="35"/>
      <c r="AB248" s="35"/>
      <c r="AC248" s="35"/>
      <c r="AD248" s="35"/>
      <c r="AE248" s="35"/>
      <c r="AF248" s="35"/>
    </row>
    <row r="249" spans="1:33" x14ac:dyDescent="0.25">
      <c r="A249" s="5"/>
      <c r="B249" s="14"/>
      <c r="C249" s="14"/>
      <c r="D249" s="6"/>
      <c r="E249" s="6"/>
      <c r="F249" s="25"/>
      <c r="G249" s="25"/>
      <c r="H249" s="25"/>
      <c r="I249" s="25"/>
      <c r="J249" s="25"/>
      <c r="K249" s="25"/>
      <c r="L249" s="25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35"/>
      <c r="Y249" s="35"/>
      <c r="Z249" s="36"/>
      <c r="AA249" s="35"/>
      <c r="AB249" s="35"/>
      <c r="AC249" s="35"/>
      <c r="AD249" s="35"/>
      <c r="AE249" s="35"/>
      <c r="AF249" s="35"/>
    </row>
    <row r="250" spans="1:33" x14ac:dyDescent="0.25">
      <c r="A250" s="5"/>
      <c r="B250" s="14"/>
      <c r="C250" s="14"/>
      <c r="D250" s="6"/>
      <c r="E250" s="6"/>
      <c r="F250" s="25"/>
      <c r="G250" s="25"/>
      <c r="H250" s="25"/>
      <c r="I250" s="25"/>
      <c r="J250" s="25"/>
      <c r="K250" s="25"/>
      <c r="L250" s="25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35"/>
      <c r="Y250" s="35"/>
      <c r="Z250" s="36"/>
      <c r="AA250" s="35"/>
      <c r="AB250" s="35"/>
      <c r="AC250" s="35"/>
      <c r="AD250" s="35"/>
      <c r="AE250" s="35"/>
      <c r="AF250" s="35"/>
    </row>
    <row r="251" spans="1:33" x14ac:dyDescent="0.25">
      <c r="A251" s="5"/>
      <c r="B251" s="14"/>
      <c r="C251" s="14"/>
      <c r="D251" s="6"/>
      <c r="E251" s="6"/>
      <c r="F251" s="25"/>
      <c r="G251" s="25"/>
      <c r="H251" s="25"/>
      <c r="I251" s="25"/>
      <c r="J251" s="25"/>
      <c r="K251" s="25"/>
      <c r="L251" s="25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35"/>
      <c r="Y251" s="35"/>
      <c r="Z251" s="36"/>
      <c r="AA251" s="35"/>
      <c r="AB251" s="35"/>
      <c r="AC251" s="35"/>
      <c r="AD251" s="35"/>
      <c r="AE251" s="35"/>
      <c r="AF251" s="35"/>
    </row>
    <row r="252" spans="1:33" x14ac:dyDescent="0.25">
      <c r="A252" s="5"/>
      <c r="B252" s="14"/>
      <c r="C252" s="14"/>
      <c r="D252" s="6"/>
      <c r="E252" s="6"/>
      <c r="F252" s="25"/>
      <c r="G252" s="25"/>
      <c r="H252" s="25"/>
      <c r="I252" s="25"/>
      <c r="J252" s="25"/>
      <c r="K252" s="25"/>
      <c r="L252" s="25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35"/>
      <c r="Y252" s="35"/>
      <c r="Z252" s="36"/>
      <c r="AA252" s="35"/>
      <c r="AB252" s="35"/>
      <c r="AC252" s="35"/>
      <c r="AD252" s="35"/>
      <c r="AE252" s="35"/>
      <c r="AF252" s="35"/>
    </row>
    <row r="253" spans="1:33" x14ac:dyDescent="0.25">
      <c r="A253" s="5"/>
      <c r="B253" s="14"/>
      <c r="C253" s="14"/>
      <c r="D253" s="6"/>
      <c r="E253" s="6"/>
      <c r="F253" s="25"/>
      <c r="G253" s="25"/>
      <c r="H253" s="25"/>
      <c r="I253" s="25"/>
      <c r="J253" s="25"/>
      <c r="K253" s="25"/>
      <c r="L253" s="25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35"/>
      <c r="Y253" s="35"/>
      <c r="Z253" s="36"/>
      <c r="AA253" s="35"/>
      <c r="AB253" s="35"/>
      <c r="AC253" s="35"/>
      <c r="AD253" s="35"/>
      <c r="AE253" s="35"/>
      <c r="AF253" s="35"/>
    </row>
    <row r="254" spans="1:33" x14ac:dyDescent="0.25">
      <c r="A254" s="5"/>
      <c r="B254" s="14"/>
      <c r="C254" s="14"/>
      <c r="D254" s="6"/>
      <c r="E254" s="6"/>
      <c r="F254" s="25"/>
      <c r="G254" s="25"/>
      <c r="H254" s="25"/>
      <c r="I254" s="25"/>
      <c r="J254" s="25"/>
      <c r="K254" s="25"/>
      <c r="L254" s="25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35"/>
      <c r="Y254" s="35"/>
      <c r="Z254" s="36"/>
      <c r="AA254" s="35"/>
      <c r="AB254" s="35"/>
      <c r="AC254" s="35"/>
      <c r="AD254" s="35"/>
      <c r="AE254" s="35"/>
      <c r="AF254" s="35"/>
    </row>
    <row r="255" spans="1:33" x14ac:dyDescent="0.25">
      <c r="A255" s="5"/>
      <c r="B255" s="14"/>
      <c r="C255" s="14"/>
      <c r="D255" s="6"/>
      <c r="E255" s="6"/>
      <c r="F255" s="25"/>
      <c r="G255" s="25"/>
      <c r="H255" s="25"/>
      <c r="I255" s="25"/>
      <c r="J255" s="25"/>
      <c r="K255" s="25"/>
      <c r="L255" s="25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35"/>
      <c r="Y255" s="35"/>
      <c r="Z255" s="36"/>
      <c r="AA255" s="35"/>
      <c r="AB255" s="35"/>
      <c r="AC255" s="35"/>
      <c r="AD255" s="35"/>
      <c r="AE255" s="35"/>
      <c r="AF255" s="35"/>
    </row>
    <row r="256" spans="1:33" x14ac:dyDescent="0.25">
      <c r="A256" s="5"/>
      <c r="B256" s="14"/>
      <c r="C256" s="14"/>
      <c r="D256" s="6"/>
      <c r="E256" s="6"/>
      <c r="F256" s="25"/>
      <c r="G256" s="25"/>
      <c r="H256" s="25"/>
      <c r="I256" s="25"/>
      <c r="J256" s="25"/>
      <c r="K256" s="25"/>
      <c r="L256" s="25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35"/>
      <c r="Y256" s="35"/>
      <c r="Z256" s="36"/>
      <c r="AA256" s="35"/>
      <c r="AB256" s="35"/>
      <c r="AC256" s="35"/>
      <c r="AD256" s="35"/>
      <c r="AE256" s="35"/>
      <c r="AF256" s="35"/>
    </row>
    <row r="257" spans="1:33" x14ac:dyDescent="0.25">
      <c r="A257" s="5"/>
      <c r="B257" s="14"/>
      <c r="C257" s="14"/>
      <c r="D257" s="6"/>
      <c r="E257" s="6"/>
      <c r="F257" s="25"/>
      <c r="G257" s="25"/>
      <c r="H257" s="25"/>
      <c r="I257" s="25"/>
      <c r="J257" s="25"/>
      <c r="K257" s="25"/>
      <c r="L257" s="25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35"/>
      <c r="Y257" s="35"/>
      <c r="Z257" s="36"/>
      <c r="AA257" s="35"/>
      <c r="AB257" s="35"/>
      <c r="AC257" s="35"/>
      <c r="AD257" s="35"/>
      <c r="AE257" s="35"/>
      <c r="AF257" s="35"/>
    </row>
    <row r="258" spans="1:33" x14ac:dyDescent="0.25">
      <c r="A258" s="5"/>
      <c r="B258" s="14"/>
      <c r="C258" s="14"/>
      <c r="D258" s="6"/>
      <c r="E258" s="6"/>
      <c r="F258" s="25"/>
      <c r="G258" s="25"/>
      <c r="H258" s="25"/>
      <c r="I258" s="25"/>
      <c r="J258" s="25"/>
      <c r="K258" s="25"/>
      <c r="L258" s="25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35"/>
      <c r="Y258" s="35"/>
      <c r="Z258" s="36"/>
      <c r="AA258" s="35"/>
      <c r="AB258" s="35"/>
      <c r="AC258" s="35"/>
      <c r="AD258" s="35"/>
      <c r="AE258" s="35"/>
      <c r="AF258" s="35"/>
    </row>
    <row r="259" spans="1:33" x14ac:dyDescent="0.25">
      <c r="A259" s="5"/>
      <c r="B259" s="14"/>
      <c r="C259" s="14"/>
      <c r="D259" s="6"/>
      <c r="E259" s="6"/>
      <c r="F259" s="25"/>
      <c r="G259" s="25"/>
      <c r="H259" s="25"/>
      <c r="I259" s="25"/>
      <c r="J259" s="25"/>
      <c r="K259" s="25"/>
      <c r="L259" s="25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35"/>
      <c r="Y259" s="35"/>
      <c r="Z259" s="36"/>
      <c r="AA259" s="35"/>
      <c r="AB259" s="35"/>
      <c r="AC259" s="35"/>
      <c r="AD259" s="35"/>
      <c r="AE259" s="35"/>
      <c r="AF259" s="35"/>
    </row>
    <row r="260" spans="1:33" x14ac:dyDescent="0.25">
      <c r="A260" s="5"/>
      <c r="B260" s="14"/>
      <c r="C260" s="14"/>
      <c r="D260" s="6"/>
      <c r="E260" s="6"/>
      <c r="F260" s="25"/>
      <c r="G260" s="25"/>
      <c r="H260" s="25"/>
      <c r="I260" s="25"/>
      <c r="J260" s="25"/>
      <c r="K260" s="25"/>
      <c r="L260" s="25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35"/>
      <c r="Y260" s="35"/>
      <c r="Z260" s="36"/>
      <c r="AA260" s="35"/>
      <c r="AB260" s="35"/>
      <c r="AC260" s="35"/>
      <c r="AD260" s="35"/>
      <c r="AE260" s="35"/>
      <c r="AF260" s="35"/>
    </row>
    <row r="261" spans="1:33" x14ac:dyDescent="0.25">
      <c r="A261" s="5"/>
      <c r="B261" s="14"/>
      <c r="C261" s="14"/>
      <c r="D261" s="6"/>
      <c r="E261" s="6"/>
      <c r="F261" s="25"/>
      <c r="G261" s="25"/>
      <c r="H261" s="25"/>
      <c r="I261" s="25"/>
      <c r="J261" s="25"/>
      <c r="K261" s="25"/>
      <c r="L261" s="25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35"/>
      <c r="Y261" s="35"/>
      <c r="Z261" s="36"/>
      <c r="AA261" s="35"/>
      <c r="AB261" s="35"/>
      <c r="AC261" s="35"/>
      <c r="AD261" s="35"/>
      <c r="AE261" s="35"/>
      <c r="AF261" s="35"/>
    </row>
    <row r="262" spans="1:33" x14ac:dyDescent="0.25">
      <c r="A262" s="5"/>
      <c r="B262" s="14"/>
      <c r="C262" s="14"/>
      <c r="D262" s="6"/>
      <c r="E262" s="6"/>
      <c r="F262" s="25"/>
      <c r="G262" s="25"/>
      <c r="H262" s="25"/>
      <c r="I262" s="25"/>
      <c r="J262" s="25"/>
      <c r="K262" s="25"/>
      <c r="L262" s="25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35"/>
      <c r="Y262" s="35"/>
      <c r="Z262" s="36"/>
      <c r="AA262" s="35"/>
      <c r="AB262" s="35"/>
      <c r="AC262" s="35"/>
      <c r="AD262" s="35"/>
      <c r="AE262" s="35"/>
      <c r="AF262" s="35"/>
    </row>
    <row r="263" spans="1:33" x14ac:dyDescent="0.25">
      <c r="A263" s="5"/>
      <c r="B263" s="14"/>
      <c r="C263" s="14"/>
      <c r="D263" s="6"/>
      <c r="E263" s="6"/>
      <c r="F263" s="25"/>
      <c r="G263" s="25"/>
      <c r="H263" s="25"/>
      <c r="I263" s="25"/>
      <c r="J263" s="25"/>
      <c r="K263" s="25"/>
      <c r="L263" s="25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35"/>
      <c r="Y263" s="35"/>
      <c r="Z263" s="36"/>
      <c r="AA263" s="35"/>
      <c r="AB263" s="35"/>
      <c r="AC263" s="35"/>
      <c r="AD263" s="35"/>
      <c r="AE263" s="35"/>
      <c r="AF263" s="35"/>
    </row>
    <row r="264" spans="1:33" x14ac:dyDescent="0.25">
      <c r="A264" s="5"/>
      <c r="B264" s="14"/>
      <c r="C264" s="14"/>
      <c r="D264" s="6"/>
      <c r="E264" s="6"/>
      <c r="F264" s="25"/>
      <c r="G264" s="25"/>
      <c r="H264" s="25"/>
      <c r="I264" s="25"/>
      <c r="J264" s="25"/>
      <c r="K264" s="25"/>
      <c r="L264" s="25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35"/>
      <c r="Y264" s="35"/>
      <c r="Z264" s="36"/>
      <c r="AA264" s="35"/>
      <c r="AB264" s="35"/>
      <c r="AC264" s="35"/>
      <c r="AD264" s="35"/>
      <c r="AE264" s="35"/>
      <c r="AF264" s="35"/>
    </row>
    <row r="265" spans="1:33" x14ac:dyDescent="0.25">
      <c r="A265" s="5"/>
      <c r="B265" s="14"/>
      <c r="C265" s="14"/>
      <c r="D265" s="6"/>
      <c r="E265" s="6"/>
      <c r="F265" s="25"/>
      <c r="G265" s="25"/>
      <c r="H265" s="25"/>
      <c r="I265" s="25"/>
      <c r="J265" s="25"/>
      <c r="K265" s="25"/>
      <c r="L265" s="25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35"/>
      <c r="Y265" s="35"/>
      <c r="Z265" s="36"/>
      <c r="AA265" s="35"/>
      <c r="AB265" s="35"/>
      <c r="AC265" s="35"/>
      <c r="AD265" s="35"/>
      <c r="AE265" s="35"/>
      <c r="AF265" s="35"/>
    </row>
    <row r="266" spans="1:33" x14ac:dyDescent="0.25">
      <c r="A266" s="5"/>
      <c r="B266" s="14"/>
      <c r="C266" s="14"/>
      <c r="D266" s="6"/>
      <c r="E266" s="6"/>
      <c r="F266" s="25"/>
      <c r="G266" s="25"/>
      <c r="H266" s="25"/>
      <c r="I266" s="25"/>
      <c r="J266" s="25"/>
      <c r="K266" s="25"/>
      <c r="L266" s="25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35"/>
      <c r="Y266" s="35"/>
      <c r="Z266" s="36"/>
      <c r="AA266" s="35"/>
      <c r="AB266" s="35"/>
      <c r="AC266" s="35"/>
      <c r="AD266" s="35"/>
      <c r="AE266" s="35"/>
      <c r="AF266" s="35"/>
    </row>
    <row r="267" spans="1:33" x14ac:dyDescent="0.25">
      <c r="A267" s="5"/>
      <c r="B267" s="14"/>
      <c r="C267" s="14"/>
      <c r="D267" s="6"/>
      <c r="E267" s="6"/>
      <c r="F267" s="25"/>
      <c r="G267" s="25"/>
      <c r="H267" s="25"/>
      <c r="I267" s="25"/>
      <c r="J267" s="25"/>
      <c r="K267" s="25"/>
      <c r="L267" s="25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35"/>
      <c r="Y267" s="35"/>
      <c r="Z267" s="36"/>
      <c r="AA267" s="35"/>
      <c r="AB267" s="35"/>
      <c r="AC267" s="35"/>
      <c r="AD267" s="35"/>
      <c r="AE267" s="35"/>
      <c r="AF267" s="35"/>
    </row>
    <row r="268" spans="1:33" x14ac:dyDescent="0.25">
      <c r="A268" s="5"/>
      <c r="B268" s="14"/>
      <c r="C268" s="14"/>
      <c r="D268" s="6"/>
      <c r="E268" s="6"/>
      <c r="F268" s="25"/>
      <c r="G268" s="25"/>
      <c r="H268" s="25"/>
      <c r="I268" s="25"/>
      <c r="J268" s="25"/>
      <c r="K268" s="25"/>
      <c r="L268" s="25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35"/>
      <c r="Y268" s="35"/>
      <c r="Z268" s="36"/>
      <c r="AA268" s="35"/>
      <c r="AB268" s="35"/>
      <c r="AC268" s="35"/>
      <c r="AD268" s="35"/>
      <c r="AE268" s="35"/>
      <c r="AF268" s="35"/>
    </row>
    <row r="269" spans="1:33" x14ac:dyDescent="0.25">
      <c r="A269" s="5"/>
      <c r="B269" s="14"/>
      <c r="C269" s="14"/>
      <c r="D269" s="6"/>
      <c r="E269" s="6"/>
      <c r="F269" s="25"/>
      <c r="G269" s="25"/>
      <c r="H269" s="25"/>
      <c r="I269" s="25"/>
      <c r="J269" s="25"/>
      <c r="K269" s="25"/>
      <c r="L269" s="25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35"/>
      <c r="Y269" s="35"/>
      <c r="Z269" s="36"/>
      <c r="AA269" s="35"/>
      <c r="AB269" s="35"/>
      <c r="AC269" s="35"/>
      <c r="AD269" s="35"/>
      <c r="AE269" s="35"/>
      <c r="AF269" s="35"/>
    </row>
    <row r="270" spans="1:33" x14ac:dyDescent="0.25">
      <c r="A270" s="5"/>
      <c r="B270" s="14"/>
      <c r="C270" s="14"/>
      <c r="D270" s="6"/>
      <c r="E270" s="6"/>
      <c r="F270" s="25"/>
      <c r="G270" s="25"/>
      <c r="H270" s="25"/>
      <c r="I270" s="25"/>
      <c r="J270" s="25"/>
      <c r="K270" s="25"/>
      <c r="L270" s="25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35"/>
      <c r="Y270" s="35"/>
      <c r="Z270" s="36"/>
      <c r="AA270" s="35"/>
      <c r="AB270" s="35"/>
      <c r="AC270" s="35"/>
      <c r="AD270" s="35"/>
      <c r="AE270" s="35"/>
      <c r="AF270" s="35"/>
    </row>
    <row r="271" spans="1:33" x14ac:dyDescent="0.25">
      <c r="A271" s="5"/>
      <c r="B271" s="14"/>
      <c r="C271" s="14"/>
      <c r="D271" s="6"/>
      <c r="E271" s="6"/>
      <c r="F271" s="25"/>
      <c r="G271" s="25"/>
      <c r="H271" s="25"/>
      <c r="I271" s="25"/>
      <c r="J271" s="25"/>
      <c r="K271" s="25"/>
      <c r="L271" s="25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35"/>
      <c r="Y271" s="35"/>
      <c r="Z271" s="36"/>
      <c r="AA271" s="35"/>
      <c r="AB271" s="35"/>
      <c r="AC271" s="35"/>
      <c r="AD271" s="35"/>
      <c r="AE271" s="35"/>
      <c r="AF271" s="35"/>
    </row>
    <row r="272" spans="1:33" x14ac:dyDescent="0.25">
      <c r="A272" s="5"/>
      <c r="B272" s="14"/>
      <c r="C272" s="14"/>
      <c r="D272" s="6"/>
      <c r="E272" s="6"/>
      <c r="F272" s="25"/>
      <c r="G272" s="25"/>
      <c r="H272" s="25"/>
      <c r="I272" s="25"/>
      <c r="J272" s="25"/>
      <c r="K272" s="25"/>
      <c r="L272" s="25"/>
      <c r="M272" s="28"/>
      <c r="N272" s="28"/>
      <c r="O272" s="28"/>
      <c r="P272" s="28"/>
      <c r="Q272" s="28"/>
      <c r="R272" s="28"/>
      <c r="S272" s="28"/>
      <c r="T272" s="28"/>
      <c r="U272" s="28"/>
      <c r="V272" s="25"/>
      <c r="W272" s="28"/>
      <c r="X272" s="35"/>
      <c r="Y272" s="35"/>
      <c r="Z272" s="36"/>
      <c r="AA272" s="35"/>
      <c r="AB272" s="35"/>
      <c r="AC272" s="35"/>
      <c r="AD272" s="35"/>
      <c r="AE272" s="35"/>
      <c r="AF272" s="35"/>
      <c r="AG272" s="35"/>
    </row>
    <row r="273" spans="1:32" x14ac:dyDescent="0.25">
      <c r="A273" s="5"/>
      <c r="B273" s="14"/>
      <c r="C273" s="14"/>
      <c r="D273" s="6"/>
      <c r="E273" s="6"/>
      <c r="F273" s="25"/>
      <c r="G273" s="25"/>
      <c r="H273" s="25"/>
      <c r="I273" s="25"/>
      <c r="J273" s="25"/>
      <c r="K273" s="25"/>
      <c r="L273" s="25"/>
      <c r="M273" s="28"/>
      <c r="N273" s="28"/>
      <c r="O273" s="28"/>
      <c r="P273" s="28"/>
      <c r="Q273" s="28"/>
      <c r="R273" s="28"/>
      <c r="S273" s="28"/>
      <c r="T273" s="28"/>
      <c r="U273" s="28"/>
      <c r="V273" s="25"/>
      <c r="W273" s="28"/>
      <c r="X273" s="35"/>
      <c r="Y273" s="35"/>
      <c r="Z273" s="36"/>
      <c r="AA273" s="35"/>
      <c r="AB273" s="35"/>
      <c r="AC273" s="35"/>
      <c r="AD273" s="35"/>
      <c r="AE273" s="35"/>
      <c r="AF273" s="35"/>
    </row>
    <row r="274" spans="1:32" x14ac:dyDescent="0.25">
      <c r="A274" s="5"/>
      <c r="B274" s="14"/>
      <c r="C274" s="14"/>
      <c r="D274" s="6"/>
      <c r="E274" s="6"/>
      <c r="F274" s="25"/>
      <c r="G274" s="25"/>
      <c r="H274" s="25"/>
      <c r="I274" s="25"/>
      <c r="J274" s="25"/>
      <c r="K274" s="25"/>
      <c r="L274" s="25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35"/>
      <c r="Y274" s="35"/>
      <c r="Z274" s="36"/>
      <c r="AA274" s="35"/>
      <c r="AB274" s="35"/>
      <c r="AC274" s="35"/>
      <c r="AD274" s="35"/>
      <c r="AE274" s="35"/>
      <c r="AF274" s="35"/>
    </row>
    <row r="275" spans="1:32" x14ac:dyDescent="0.25">
      <c r="A275" s="5"/>
      <c r="B275" s="14"/>
      <c r="C275" s="14"/>
      <c r="D275" s="6"/>
      <c r="E275" s="6"/>
      <c r="F275" s="25"/>
      <c r="G275" s="25"/>
      <c r="H275" s="25"/>
      <c r="I275" s="25"/>
      <c r="J275" s="25"/>
      <c r="K275" s="25"/>
      <c r="L275" s="25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35"/>
      <c r="Y275" s="35"/>
      <c r="Z275" s="36"/>
      <c r="AA275" s="35"/>
      <c r="AB275" s="35"/>
      <c r="AC275" s="35"/>
      <c r="AD275" s="35"/>
      <c r="AE275" s="35"/>
      <c r="AF275" s="35"/>
    </row>
    <row r="276" spans="1:32" x14ac:dyDescent="0.25">
      <c r="A276" s="5"/>
      <c r="B276" s="14"/>
      <c r="C276" s="14"/>
      <c r="D276" s="6"/>
      <c r="E276" s="6"/>
      <c r="F276" s="25"/>
      <c r="G276" s="25"/>
      <c r="H276" s="25"/>
      <c r="I276" s="25"/>
      <c r="J276" s="25"/>
      <c r="K276" s="25"/>
      <c r="L276" s="25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35"/>
      <c r="Y276" s="35"/>
      <c r="Z276" s="36"/>
      <c r="AA276" s="35"/>
      <c r="AB276" s="35"/>
      <c r="AC276" s="35"/>
      <c r="AD276" s="35"/>
      <c r="AE276" s="35"/>
      <c r="AF276" s="35"/>
    </row>
    <row r="277" spans="1:32" x14ac:dyDescent="0.25">
      <c r="A277" s="5"/>
      <c r="B277" s="14"/>
      <c r="C277" s="14"/>
      <c r="D277" s="6"/>
      <c r="E277" s="6"/>
      <c r="F277" s="25"/>
      <c r="G277" s="25"/>
      <c r="H277" s="25"/>
      <c r="I277" s="25"/>
      <c r="J277" s="25"/>
      <c r="K277" s="25"/>
      <c r="L277" s="25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35"/>
      <c r="Y277" s="35"/>
      <c r="Z277" s="36"/>
      <c r="AA277" s="35"/>
      <c r="AB277" s="35"/>
      <c r="AC277" s="35"/>
      <c r="AD277" s="35"/>
      <c r="AE277" s="35"/>
      <c r="AF277" s="35"/>
    </row>
    <row r="278" spans="1:32" x14ac:dyDescent="0.25">
      <c r="A278" s="5"/>
      <c r="B278" s="14"/>
      <c r="C278" s="14"/>
      <c r="D278" s="6"/>
      <c r="E278" s="6"/>
      <c r="F278" s="25"/>
      <c r="G278" s="25"/>
      <c r="H278" s="25"/>
      <c r="I278" s="25"/>
      <c r="J278" s="25"/>
      <c r="K278" s="25"/>
      <c r="L278" s="25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35"/>
      <c r="Y278" s="35"/>
      <c r="Z278" s="36"/>
      <c r="AA278" s="35"/>
      <c r="AB278" s="35"/>
      <c r="AC278" s="35"/>
      <c r="AD278" s="35"/>
      <c r="AE278" s="35"/>
      <c r="AF278" s="35"/>
    </row>
    <row r="279" spans="1:32" x14ac:dyDescent="0.25">
      <c r="A279" s="5"/>
      <c r="B279" s="14"/>
      <c r="C279" s="14"/>
      <c r="D279" s="6"/>
      <c r="E279" s="6"/>
      <c r="F279" s="25"/>
      <c r="G279" s="25"/>
      <c r="H279" s="25"/>
      <c r="I279" s="25"/>
      <c r="J279" s="25"/>
      <c r="K279" s="25"/>
      <c r="L279" s="25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35"/>
      <c r="Y279" s="35"/>
      <c r="Z279" s="36"/>
      <c r="AA279" s="35"/>
      <c r="AB279" s="35"/>
      <c r="AC279" s="35"/>
      <c r="AD279" s="35"/>
      <c r="AE279" s="35"/>
      <c r="AF279" s="35"/>
    </row>
    <row r="280" spans="1:32" x14ac:dyDescent="0.25">
      <c r="A280" s="5"/>
      <c r="B280" s="14"/>
      <c r="C280" s="14"/>
      <c r="D280" s="6"/>
      <c r="E280" s="6"/>
      <c r="F280" s="25"/>
      <c r="G280" s="25"/>
      <c r="H280" s="25"/>
      <c r="I280" s="25"/>
      <c r="J280" s="25"/>
      <c r="K280" s="25"/>
      <c r="L280" s="25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35"/>
      <c r="Y280" s="35"/>
      <c r="Z280" s="36"/>
      <c r="AA280" s="35"/>
      <c r="AB280" s="35"/>
      <c r="AC280" s="35"/>
      <c r="AD280" s="35"/>
      <c r="AE280" s="35"/>
      <c r="AF280" s="35"/>
    </row>
    <row r="281" spans="1:32" x14ac:dyDescent="0.25">
      <c r="A281" s="5"/>
      <c r="B281" s="14"/>
      <c r="C281" s="14"/>
      <c r="D281" s="6"/>
      <c r="E281" s="6"/>
      <c r="F281" s="25"/>
      <c r="G281" s="25"/>
      <c r="H281" s="25"/>
      <c r="I281" s="25"/>
      <c r="J281" s="25"/>
      <c r="K281" s="25"/>
      <c r="L281" s="25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35"/>
      <c r="Y281" s="35"/>
      <c r="Z281" s="36"/>
      <c r="AA281" s="35"/>
      <c r="AB281" s="35"/>
      <c r="AC281" s="35"/>
      <c r="AD281" s="35"/>
      <c r="AE281" s="35"/>
      <c r="AF281" s="35"/>
    </row>
    <row r="282" spans="1:32" x14ac:dyDescent="0.25">
      <c r="A282" s="5"/>
      <c r="B282" s="14"/>
      <c r="C282" s="14"/>
      <c r="D282" s="6"/>
      <c r="E282" s="6"/>
      <c r="F282" s="25"/>
      <c r="G282" s="25"/>
      <c r="H282" s="25"/>
      <c r="I282" s="25"/>
      <c r="J282" s="25"/>
      <c r="K282" s="25"/>
      <c r="L282" s="25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35"/>
      <c r="Y282" s="35"/>
      <c r="Z282" s="36"/>
      <c r="AA282" s="35"/>
      <c r="AB282" s="35"/>
      <c r="AC282" s="35"/>
      <c r="AD282" s="35"/>
      <c r="AE282" s="35"/>
      <c r="AF282" s="35"/>
    </row>
    <row r="283" spans="1:32" x14ac:dyDescent="0.25">
      <c r="A283" s="5"/>
      <c r="B283" s="14"/>
      <c r="C283" s="14"/>
      <c r="D283" s="6"/>
      <c r="E283" s="6"/>
      <c r="F283" s="25"/>
      <c r="G283" s="25"/>
      <c r="H283" s="25"/>
      <c r="I283" s="25"/>
      <c r="J283" s="25"/>
      <c r="K283" s="25"/>
      <c r="L283" s="25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35"/>
      <c r="Y283" s="35"/>
      <c r="Z283" s="36"/>
      <c r="AA283" s="35"/>
      <c r="AB283" s="35"/>
      <c r="AC283" s="35"/>
      <c r="AD283" s="35"/>
      <c r="AE283" s="35"/>
      <c r="AF283" s="35"/>
    </row>
    <row r="284" spans="1:32" x14ac:dyDescent="0.25">
      <c r="A284" s="5"/>
      <c r="B284" s="14"/>
      <c r="C284" s="14"/>
      <c r="D284" s="6"/>
      <c r="E284" s="6"/>
      <c r="F284" s="25"/>
      <c r="G284" s="25"/>
      <c r="H284" s="25"/>
      <c r="I284" s="25"/>
      <c r="J284" s="25"/>
      <c r="K284" s="25"/>
      <c r="L284" s="25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35"/>
      <c r="Y284" s="35"/>
      <c r="Z284" s="36"/>
      <c r="AA284" s="35"/>
      <c r="AB284" s="35"/>
      <c r="AC284" s="35"/>
      <c r="AD284" s="35"/>
      <c r="AE284" s="35"/>
      <c r="AF284" s="35"/>
    </row>
    <row r="285" spans="1:32" x14ac:dyDescent="0.25">
      <c r="A285" s="5"/>
      <c r="B285" s="14"/>
      <c r="C285" s="14"/>
      <c r="D285" s="6"/>
      <c r="E285" s="6"/>
      <c r="F285" s="25"/>
      <c r="G285" s="25"/>
      <c r="H285" s="25"/>
      <c r="I285" s="25"/>
      <c r="J285" s="25"/>
      <c r="K285" s="25"/>
      <c r="L285" s="25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35"/>
      <c r="Y285" s="35"/>
      <c r="Z285" s="36"/>
      <c r="AA285" s="35"/>
      <c r="AB285" s="35"/>
      <c r="AC285" s="35"/>
      <c r="AD285" s="35"/>
      <c r="AE285" s="35"/>
      <c r="AF285" s="35"/>
    </row>
    <row r="286" spans="1:32" x14ac:dyDescent="0.25">
      <c r="A286" s="5"/>
      <c r="B286" s="14"/>
      <c r="C286" s="14"/>
      <c r="D286" s="6"/>
      <c r="E286" s="6"/>
      <c r="F286" s="25"/>
      <c r="G286" s="25"/>
      <c r="H286" s="25"/>
      <c r="I286" s="25"/>
      <c r="J286" s="25"/>
      <c r="K286" s="25"/>
      <c r="L286" s="25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35"/>
      <c r="Y286" s="35"/>
      <c r="Z286" s="36"/>
      <c r="AA286" s="35"/>
      <c r="AB286" s="35"/>
      <c r="AC286" s="35"/>
      <c r="AD286" s="35"/>
      <c r="AE286" s="35"/>
      <c r="AF286" s="35"/>
    </row>
    <row r="287" spans="1:32" x14ac:dyDescent="0.25">
      <c r="A287" s="5"/>
      <c r="B287" s="14"/>
      <c r="C287" s="14"/>
      <c r="D287" s="6"/>
      <c r="E287" s="6"/>
      <c r="F287" s="25"/>
      <c r="G287" s="25"/>
      <c r="H287" s="25"/>
      <c r="I287" s="25"/>
      <c r="J287" s="25"/>
      <c r="K287" s="25"/>
      <c r="L287" s="25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35"/>
      <c r="Y287" s="35"/>
      <c r="Z287" s="36"/>
      <c r="AA287" s="35"/>
      <c r="AB287" s="35"/>
      <c r="AC287" s="35"/>
      <c r="AD287" s="35"/>
      <c r="AE287" s="35"/>
      <c r="AF287" s="35"/>
    </row>
    <row r="288" spans="1:32" x14ac:dyDescent="0.25">
      <c r="A288" s="5"/>
      <c r="B288" s="14"/>
      <c r="C288" s="14"/>
      <c r="D288" s="6"/>
      <c r="E288" s="6"/>
      <c r="F288" s="25"/>
      <c r="G288" s="25"/>
      <c r="H288" s="25"/>
      <c r="I288" s="25"/>
      <c r="J288" s="25"/>
      <c r="K288" s="25"/>
      <c r="L288" s="25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35"/>
      <c r="Y288" s="35"/>
      <c r="Z288" s="36"/>
      <c r="AA288" s="35"/>
      <c r="AB288" s="35"/>
      <c r="AC288" s="35"/>
      <c r="AD288" s="35"/>
      <c r="AE288" s="35"/>
      <c r="AF288" s="35"/>
    </row>
    <row r="289" spans="1:33" x14ac:dyDescent="0.25">
      <c r="A289" s="5"/>
      <c r="B289" s="14"/>
      <c r="C289" s="14"/>
      <c r="D289" s="6"/>
      <c r="E289" s="6"/>
      <c r="F289" s="25"/>
      <c r="G289" s="25"/>
      <c r="H289" s="25"/>
      <c r="I289" s="25"/>
      <c r="J289" s="25"/>
      <c r="K289" s="25"/>
      <c r="L289" s="25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35"/>
      <c r="Y289" s="35"/>
      <c r="Z289" s="36"/>
      <c r="AA289" s="35"/>
      <c r="AB289" s="35"/>
      <c r="AC289" s="35"/>
      <c r="AD289" s="35"/>
      <c r="AE289" s="35"/>
      <c r="AF289" s="35"/>
    </row>
    <row r="290" spans="1:33" x14ac:dyDescent="0.25">
      <c r="A290" s="5"/>
      <c r="B290" s="14"/>
      <c r="C290" s="14"/>
      <c r="D290" s="6"/>
      <c r="E290" s="6"/>
      <c r="F290" s="25"/>
      <c r="G290" s="25"/>
      <c r="H290" s="25"/>
      <c r="I290" s="25"/>
      <c r="J290" s="25"/>
      <c r="K290" s="25"/>
      <c r="L290" s="25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35"/>
      <c r="Y290" s="35"/>
      <c r="Z290" s="36"/>
      <c r="AA290" s="35"/>
      <c r="AB290" s="35"/>
      <c r="AC290" s="35"/>
      <c r="AD290" s="35"/>
      <c r="AE290" s="35"/>
      <c r="AF290" s="35"/>
    </row>
    <row r="291" spans="1:33" x14ac:dyDescent="0.25">
      <c r="A291" s="5"/>
      <c r="B291" s="14"/>
      <c r="C291" s="14"/>
      <c r="D291" s="6"/>
      <c r="E291" s="6"/>
      <c r="F291" s="25"/>
      <c r="G291" s="25"/>
      <c r="H291" s="25"/>
      <c r="I291" s="25"/>
      <c r="J291" s="25"/>
      <c r="K291" s="25"/>
      <c r="L291" s="25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35"/>
      <c r="Y291" s="35"/>
      <c r="Z291" s="36"/>
      <c r="AA291" s="35"/>
      <c r="AB291" s="35"/>
      <c r="AC291" s="35"/>
      <c r="AD291" s="35"/>
      <c r="AE291" s="35"/>
      <c r="AF291" s="35"/>
    </row>
    <row r="292" spans="1:33" x14ac:dyDescent="0.25">
      <c r="A292" s="5"/>
      <c r="B292" s="14"/>
      <c r="C292" s="14"/>
      <c r="D292" s="6"/>
      <c r="E292" s="6"/>
      <c r="F292" s="25"/>
      <c r="G292" s="25"/>
      <c r="H292" s="25"/>
      <c r="I292" s="25"/>
      <c r="J292" s="25"/>
      <c r="K292" s="25"/>
      <c r="L292" s="25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35"/>
      <c r="Y292" s="35"/>
      <c r="Z292" s="36"/>
      <c r="AA292" s="35"/>
      <c r="AB292" s="35"/>
      <c r="AC292" s="35"/>
      <c r="AD292" s="35"/>
      <c r="AE292" s="35"/>
      <c r="AF292" s="35"/>
    </row>
    <row r="293" spans="1:33" x14ac:dyDescent="0.25">
      <c r="A293" s="5"/>
      <c r="B293" s="14"/>
      <c r="C293" s="14"/>
      <c r="D293" s="6"/>
      <c r="E293" s="6"/>
      <c r="F293" s="25"/>
      <c r="G293" s="25"/>
      <c r="H293" s="25"/>
      <c r="I293" s="25"/>
      <c r="J293" s="25"/>
      <c r="K293" s="25"/>
      <c r="L293" s="25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35"/>
      <c r="Y293" s="35"/>
      <c r="Z293" s="36"/>
      <c r="AA293" s="35"/>
      <c r="AB293" s="35"/>
      <c r="AC293" s="35"/>
      <c r="AD293" s="35"/>
      <c r="AE293" s="35"/>
      <c r="AF293" s="35"/>
    </row>
    <row r="294" spans="1:33" x14ac:dyDescent="0.25">
      <c r="A294" s="5"/>
      <c r="B294" s="14"/>
      <c r="C294" s="14"/>
      <c r="D294" s="6"/>
      <c r="E294" s="6"/>
      <c r="F294" s="25"/>
      <c r="G294" s="25"/>
      <c r="H294" s="25"/>
      <c r="I294" s="25"/>
      <c r="J294" s="25"/>
      <c r="K294" s="25"/>
      <c r="L294" s="25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35"/>
      <c r="Y294" s="35"/>
      <c r="Z294" s="36"/>
      <c r="AA294" s="35"/>
      <c r="AB294" s="35"/>
      <c r="AC294" s="35"/>
      <c r="AD294" s="35"/>
      <c r="AE294" s="35"/>
      <c r="AF294" s="35"/>
    </row>
    <row r="295" spans="1:33" x14ac:dyDescent="0.25">
      <c r="A295" s="5"/>
      <c r="B295" s="14"/>
      <c r="C295" s="14"/>
      <c r="D295" s="6"/>
      <c r="E295" s="6"/>
      <c r="F295" s="25"/>
      <c r="G295" s="25"/>
      <c r="H295" s="25"/>
      <c r="I295" s="25"/>
      <c r="J295" s="25"/>
      <c r="K295" s="25"/>
      <c r="L295" s="25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35"/>
      <c r="Y295" s="35"/>
      <c r="Z295" s="36"/>
      <c r="AA295" s="35"/>
      <c r="AB295" s="35"/>
      <c r="AC295" s="35"/>
      <c r="AD295" s="35"/>
      <c r="AE295" s="35"/>
      <c r="AF295" s="35"/>
    </row>
    <row r="296" spans="1:33" x14ac:dyDescent="0.25">
      <c r="A296" s="5"/>
      <c r="B296" s="14"/>
      <c r="C296" s="14"/>
      <c r="D296" s="6"/>
      <c r="E296" s="6"/>
      <c r="F296" s="25"/>
      <c r="G296" s="25"/>
      <c r="H296" s="25"/>
      <c r="I296" s="25"/>
      <c r="J296" s="25"/>
      <c r="K296" s="25"/>
      <c r="L296" s="25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35"/>
      <c r="Y296" s="35"/>
      <c r="Z296" s="36"/>
      <c r="AA296" s="35"/>
      <c r="AB296" s="35"/>
      <c r="AC296" s="35"/>
      <c r="AD296" s="35"/>
      <c r="AE296" s="35"/>
      <c r="AF296" s="35"/>
    </row>
    <row r="297" spans="1:33" x14ac:dyDescent="0.25">
      <c r="A297" s="5"/>
      <c r="B297" s="14"/>
      <c r="C297" s="14"/>
      <c r="D297" s="6"/>
      <c r="E297" s="6"/>
      <c r="F297" s="25"/>
      <c r="G297" s="25"/>
      <c r="H297" s="25"/>
      <c r="I297" s="25"/>
      <c r="J297" s="25"/>
      <c r="K297" s="25"/>
      <c r="L297" s="25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35"/>
      <c r="Y297" s="35"/>
      <c r="Z297" s="36"/>
      <c r="AA297" s="35"/>
      <c r="AB297" s="35"/>
      <c r="AC297" s="35"/>
      <c r="AD297" s="35"/>
      <c r="AE297" s="35"/>
      <c r="AF297" s="35"/>
    </row>
    <row r="298" spans="1:33" x14ac:dyDescent="0.25">
      <c r="A298" s="5"/>
      <c r="B298" s="14"/>
      <c r="C298" s="14"/>
      <c r="D298" s="6"/>
      <c r="E298" s="6"/>
      <c r="F298" s="25"/>
      <c r="G298" s="25"/>
      <c r="H298" s="25"/>
      <c r="I298" s="25"/>
      <c r="J298" s="25"/>
      <c r="K298" s="25"/>
      <c r="L298" s="25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35"/>
      <c r="Y298" s="35"/>
      <c r="Z298" s="36"/>
      <c r="AA298" s="35"/>
      <c r="AB298" s="35"/>
      <c r="AC298" s="35"/>
      <c r="AD298" s="35"/>
      <c r="AE298" s="35"/>
      <c r="AF298" s="35"/>
    </row>
    <row r="299" spans="1:33" x14ac:dyDescent="0.25">
      <c r="A299" s="5"/>
      <c r="B299" s="14"/>
      <c r="C299" s="14"/>
      <c r="D299" s="6"/>
      <c r="E299" s="6"/>
      <c r="F299" s="25"/>
      <c r="G299" s="25"/>
      <c r="H299" s="25"/>
      <c r="I299" s="25"/>
      <c r="J299" s="25"/>
      <c r="K299" s="25"/>
      <c r="L299" s="25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35"/>
      <c r="Y299" s="35"/>
      <c r="Z299" s="36"/>
      <c r="AA299" s="35"/>
      <c r="AB299" s="35"/>
      <c r="AC299" s="35"/>
      <c r="AD299" s="35"/>
      <c r="AE299" s="35"/>
      <c r="AF299" s="35"/>
    </row>
    <row r="300" spans="1:33" x14ac:dyDescent="0.25">
      <c r="A300" s="5"/>
      <c r="B300" s="14"/>
      <c r="C300" s="14"/>
      <c r="D300" s="6"/>
      <c r="E300" s="6"/>
      <c r="F300" s="25"/>
      <c r="G300" s="25"/>
      <c r="H300" s="25"/>
      <c r="I300" s="25"/>
      <c r="J300" s="25"/>
      <c r="K300" s="25"/>
      <c r="L300" s="25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35"/>
      <c r="Y300" s="35"/>
      <c r="Z300" s="36"/>
      <c r="AA300" s="35"/>
      <c r="AB300" s="35"/>
      <c r="AC300" s="35"/>
      <c r="AD300" s="35"/>
      <c r="AE300" s="35"/>
      <c r="AF300" s="35"/>
    </row>
    <row r="301" spans="1:33" x14ac:dyDescent="0.25">
      <c r="A301" s="5"/>
      <c r="B301" s="14"/>
      <c r="C301" s="14"/>
      <c r="D301" s="6"/>
      <c r="E301" s="6"/>
      <c r="F301" s="25"/>
      <c r="G301" s="25"/>
      <c r="H301" s="25"/>
      <c r="I301" s="25"/>
      <c r="J301" s="25"/>
      <c r="K301" s="25"/>
      <c r="L301" s="25"/>
      <c r="M301" s="28"/>
      <c r="N301" s="28"/>
      <c r="O301" s="28"/>
      <c r="P301" s="28"/>
      <c r="Q301" s="28"/>
      <c r="R301" s="28"/>
      <c r="S301" s="28"/>
      <c r="T301" s="28"/>
      <c r="U301" s="28"/>
      <c r="V301" s="25"/>
      <c r="W301" s="28"/>
      <c r="X301" s="35"/>
      <c r="Y301" s="35"/>
      <c r="Z301" s="36"/>
      <c r="AA301" s="35"/>
      <c r="AB301" s="35"/>
      <c r="AC301" s="35"/>
      <c r="AD301" s="35"/>
      <c r="AE301" s="35"/>
      <c r="AF301" s="35"/>
      <c r="AG301" s="35"/>
    </row>
    <row r="302" spans="1:33" x14ac:dyDescent="0.25">
      <c r="A302" s="5"/>
      <c r="B302" s="14"/>
      <c r="C302" s="14"/>
      <c r="D302" s="6"/>
      <c r="E302" s="6"/>
      <c r="F302" s="25"/>
      <c r="G302" s="25"/>
      <c r="H302" s="25"/>
      <c r="I302" s="25"/>
      <c r="J302" s="25"/>
      <c r="K302" s="25"/>
      <c r="L302" s="25"/>
      <c r="M302" s="28"/>
      <c r="N302" s="28"/>
      <c r="O302" s="28"/>
      <c r="P302" s="28"/>
      <c r="Q302" s="28"/>
      <c r="R302" s="28"/>
      <c r="S302" s="28"/>
      <c r="T302" s="28"/>
      <c r="U302" s="28"/>
      <c r="V302" s="25"/>
      <c r="W302" s="28"/>
      <c r="X302" s="35"/>
      <c r="Y302" s="35"/>
      <c r="Z302" s="36"/>
      <c r="AA302" s="35"/>
      <c r="AB302" s="35"/>
      <c r="AC302" s="35"/>
      <c r="AD302" s="35"/>
      <c r="AE302" s="35"/>
      <c r="AF302" s="35"/>
    </row>
    <row r="303" spans="1:33" x14ac:dyDescent="0.25">
      <c r="A303" s="5"/>
      <c r="B303" s="14"/>
      <c r="C303" s="14"/>
      <c r="D303" s="6"/>
      <c r="E303" s="6"/>
      <c r="F303" s="25"/>
      <c r="G303" s="25"/>
      <c r="H303" s="25"/>
      <c r="I303" s="25"/>
      <c r="J303" s="25"/>
      <c r="K303" s="25"/>
      <c r="L303" s="25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35"/>
      <c r="Y303" s="35"/>
      <c r="Z303" s="36"/>
      <c r="AA303" s="35"/>
      <c r="AB303" s="35"/>
      <c r="AC303" s="35"/>
      <c r="AD303" s="35"/>
      <c r="AE303" s="35"/>
      <c r="AF303" s="35"/>
    </row>
    <row r="304" spans="1:33" x14ac:dyDescent="0.25">
      <c r="A304" s="5"/>
      <c r="B304" s="14"/>
      <c r="C304" s="14"/>
      <c r="D304" s="6"/>
      <c r="E304" s="6"/>
      <c r="F304" s="25"/>
      <c r="G304" s="25"/>
      <c r="H304" s="25"/>
      <c r="I304" s="25"/>
      <c r="J304" s="25"/>
      <c r="K304" s="25"/>
      <c r="L304" s="25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35"/>
      <c r="Y304" s="35"/>
      <c r="Z304" s="36"/>
      <c r="AA304" s="35"/>
      <c r="AB304" s="35"/>
      <c r="AC304" s="35"/>
      <c r="AD304" s="35"/>
      <c r="AE304" s="35"/>
      <c r="AF304" s="35"/>
    </row>
    <row r="305" spans="1:32" x14ac:dyDescent="0.25">
      <c r="A305" s="5"/>
      <c r="B305" s="14"/>
      <c r="C305" s="14"/>
      <c r="D305" s="6"/>
      <c r="E305" s="6"/>
      <c r="F305" s="25"/>
      <c r="G305" s="25"/>
      <c r="H305" s="25"/>
      <c r="I305" s="25"/>
      <c r="J305" s="25"/>
      <c r="K305" s="25"/>
      <c r="L305" s="25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35"/>
      <c r="Y305" s="35"/>
      <c r="Z305" s="36"/>
      <c r="AA305" s="35"/>
      <c r="AB305" s="35"/>
      <c r="AC305" s="35"/>
      <c r="AD305" s="35"/>
      <c r="AE305" s="35"/>
      <c r="AF305" s="35"/>
    </row>
    <row r="306" spans="1:32" x14ac:dyDescent="0.25">
      <c r="A306" s="5"/>
      <c r="B306" s="14"/>
      <c r="C306" s="14"/>
      <c r="D306" s="6"/>
      <c r="E306" s="6"/>
      <c r="F306" s="25"/>
      <c r="G306" s="25"/>
      <c r="H306" s="25"/>
      <c r="I306" s="25"/>
      <c r="J306" s="25"/>
      <c r="K306" s="25"/>
      <c r="L306" s="25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35"/>
      <c r="Y306" s="35"/>
      <c r="Z306" s="36"/>
      <c r="AA306" s="35"/>
      <c r="AB306" s="35"/>
      <c r="AC306" s="35"/>
      <c r="AD306" s="35"/>
      <c r="AE306" s="35"/>
      <c r="AF306" s="35"/>
    </row>
    <row r="307" spans="1:32" x14ac:dyDescent="0.25">
      <c r="A307" s="5"/>
      <c r="B307" s="14"/>
      <c r="C307" s="14"/>
      <c r="D307" s="6"/>
      <c r="E307" s="6"/>
      <c r="F307" s="25"/>
      <c r="G307" s="25"/>
      <c r="H307" s="25"/>
      <c r="I307" s="25"/>
      <c r="J307" s="25"/>
      <c r="K307" s="25"/>
      <c r="L307" s="25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35"/>
      <c r="Y307" s="35"/>
      <c r="Z307" s="36"/>
      <c r="AA307" s="35"/>
      <c r="AB307" s="35"/>
      <c r="AC307" s="35"/>
      <c r="AD307" s="35"/>
      <c r="AE307" s="35"/>
      <c r="AF307" s="35"/>
    </row>
    <row r="308" spans="1:32" x14ac:dyDescent="0.25">
      <c r="A308" s="5"/>
      <c r="B308" s="14"/>
      <c r="C308" s="14"/>
      <c r="D308" s="6"/>
      <c r="E308" s="6"/>
      <c r="F308" s="25"/>
      <c r="G308" s="25"/>
      <c r="H308" s="25"/>
      <c r="I308" s="25"/>
      <c r="J308" s="25"/>
      <c r="K308" s="25"/>
      <c r="L308" s="25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35"/>
      <c r="Y308" s="35"/>
      <c r="Z308" s="36"/>
      <c r="AA308" s="35"/>
      <c r="AB308" s="35"/>
      <c r="AC308" s="35"/>
      <c r="AD308" s="35"/>
      <c r="AE308" s="35"/>
      <c r="AF308" s="35"/>
    </row>
    <row r="309" spans="1:32" x14ac:dyDescent="0.25">
      <c r="A309" s="5"/>
      <c r="B309" s="14"/>
      <c r="C309" s="14"/>
      <c r="D309" s="6"/>
      <c r="E309" s="6"/>
      <c r="F309" s="25"/>
      <c r="G309" s="25"/>
      <c r="H309" s="25"/>
      <c r="I309" s="25"/>
      <c r="J309" s="25"/>
      <c r="K309" s="25"/>
      <c r="L309" s="25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35"/>
      <c r="Y309" s="35"/>
      <c r="Z309" s="36"/>
      <c r="AA309" s="35"/>
      <c r="AB309" s="35"/>
      <c r="AC309" s="35"/>
      <c r="AD309" s="35"/>
      <c r="AE309" s="35"/>
      <c r="AF309" s="35"/>
    </row>
    <row r="310" spans="1:32" x14ac:dyDescent="0.25">
      <c r="A310" s="5"/>
      <c r="B310" s="14"/>
      <c r="C310" s="14"/>
      <c r="D310" s="6"/>
      <c r="E310" s="6"/>
      <c r="F310" s="25"/>
      <c r="G310" s="25"/>
      <c r="H310" s="25"/>
      <c r="I310" s="25"/>
      <c r="J310" s="25"/>
      <c r="K310" s="25"/>
      <c r="L310" s="25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35"/>
      <c r="Y310" s="35"/>
      <c r="Z310" s="36"/>
      <c r="AA310" s="35"/>
      <c r="AB310" s="35"/>
      <c r="AC310" s="35"/>
      <c r="AD310" s="35"/>
      <c r="AE310" s="35"/>
      <c r="AF310" s="35"/>
    </row>
    <row r="311" spans="1:32" x14ac:dyDescent="0.25">
      <c r="A311" s="5"/>
      <c r="B311" s="14"/>
      <c r="C311" s="14"/>
      <c r="D311" s="6"/>
      <c r="E311" s="6"/>
      <c r="F311" s="25"/>
      <c r="G311" s="25"/>
      <c r="H311" s="25"/>
      <c r="I311" s="25"/>
      <c r="J311" s="25"/>
      <c r="K311" s="25"/>
      <c r="L311" s="25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35"/>
      <c r="Y311" s="35"/>
      <c r="Z311" s="36"/>
      <c r="AA311" s="35"/>
      <c r="AB311" s="35"/>
      <c r="AC311" s="35"/>
      <c r="AD311" s="35"/>
      <c r="AE311" s="35"/>
      <c r="AF311" s="35"/>
    </row>
    <row r="312" spans="1:32" x14ac:dyDescent="0.25">
      <c r="A312" s="5"/>
      <c r="B312" s="14"/>
      <c r="C312" s="14"/>
      <c r="D312" s="6"/>
      <c r="E312" s="6"/>
      <c r="F312" s="25"/>
      <c r="G312" s="25"/>
      <c r="H312" s="25"/>
      <c r="I312" s="25"/>
      <c r="J312" s="25"/>
      <c r="K312" s="25"/>
      <c r="L312" s="25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35"/>
      <c r="Y312" s="35"/>
      <c r="Z312" s="36"/>
      <c r="AA312" s="35"/>
      <c r="AB312" s="35"/>
      <c r="AC312" s="35"/>
      <c r="AD312" s="35"/>
      <c r="AE312" s="35"/>
      <c r="AF312" s="35"/>
    </row>
    <row r="313" spans="1:32" x14ac:dyDescent="0.25">
      <c r="A313" s="5"/>
      <c r="B313" s="14"/>
      <c r="C313" s="14"/>
      <c r="D313" s="6"/>
      <c r="E313" s="6"/>
      <c r="F313" s="25"/>
      <c r="G313" s="25"/>
      <c r="H313" s="25"/>
      <c r="I313" s="25"/>
      <c r="J313" s="25"/>
      <c r="K313" s="25"/>
      <c r="L313" s="25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35"/>
      <c r="Y313" s="35"/>
      <c r="Z313" s="36"/>
      <c r="AA313" s="35"/>
      <c r="AB313" s="35"/>
      <c r="AC313" s="35"/>
      <c r="AD313" s="35"/>
      <c r="AE313" s="35"/>
      <c r="AF313" s="35"/>
    </row>
    <row r="314" spans="1:32" x14ac:dyDescent="0.25">
      <c r="A314" s="5"/>
      <c r="B314" s="14"/>
      <c r="C314" s="14"/>
      <c r="D314" s="6"/>
      <c r="E314" s="6"/>
      <c r="F314" s="25"/>
      <c r="G314" s="25"/>
      <c r="H314" s="25"/>
      <c r="I314" s="25"/>
      <c r="J314" s="25"/>
      <c r="K314" s="25"/>
      <c r="L314" s="25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35"/>
      <c r="Y314" s="35"/>
      <c r="Z314" s="36"/>
      <c r="AA314" s="35"/>
      <c r="AB314" s="35"/>
      <c r="AC314" s="35"/>
      <c r="AD314" s="35"/>
      <c r="AE314" s="35"/>
      <c r="AF314" s="35"/>
    </row>
    <row r="315" spans="1:32" x14ac:dyDescent="0.25">
      <c r="A315" s="5"/>
      <c r="B315" s="14"/>
      <c r="C315" s="14"/>
      <c r="D315" s="6"/>
      <c r="E315" s="6"/>
      <c r="F315" s="25"/>
      <c r="G315" s="25"/>
      <c r="H315" s="25"/>
      <c r="I315" s="25"/>
      <c r="J315" s="25"/>
      <c r="K315" s="25"/>
      <c r="L315" s="25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35"/>
      <c r="Y315" s="35"/>
      <c r="Z315" s="36"/>
      <c r="AA315" s="35"/>
      <c r="AB315" s="35"/>
      <c r="AC315" s="35"/>
      <c r="AD315" s="35"/>
      <c r="AE315" s="35"/>
      <c r="AF315" s="35"/>
    </row>
    <row r="316" spans="1:32" x14ac:dyDescent="0.25">
      <c r="A316" s="5"/>
      <c r="B316" s="14"/>
      <c r="C316" s="14"/>
      <c r="D316" s="6"/>
      <c r="E316" s="6"/>
      <c r="F316" s="25"/>
      <c r="G316" s="25"/>
      <c r="H316" s="25"/>
      <c r="I316" s="25"/>
      <c r="J316" s="25"/>
      <c r="K316" s="25"/>
      <c r="L316" s="25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35"/>
      <c r="Y316" s="35"/>
      <c r="Z316" s="36"/>
      <c r="AA316" s="35"/>
      <c r="AB316" s="35"/>
      <c r="AC316" s="35"/>
      <c r="AD316" s="35"/>
      <c r="AE316" s="35"/>
      <c r="AF316" s="35"/>
    </row>
    <row r="317" spans="1:32" x14ac:dyDescent="0.25">
      <c r="A317" s="5"/>
      <c r="B317" s="14"/>
      <c r="C317" s="14"/>
      <c r="D317" s="6"/>
      <c r="E317" s="6"/>
      <c r="F317" s="25"/>
      <c r="G317" s="25"/>
      <c r="H317" s="25"/>
      <c r="I317" s="25"/>
      <c r="J317" s="25"/>
      <c r="K317" s="25"/>
      <c r="L317" s="25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35"/>
      <c r="Y317" s="35"/>
      <c r="Z317" s="36"/>
      <c r="AA317" s="35"/>
      <c r="AB317" s="35"/>
      <c r="AC317" s="35"/>
      <c r="AD317" s="35"/>
      <c r="AE317" s="35"/>
      <c r="AF317" s="35"/>
    </row>
    <row r="318" spans="1:32" x14ac:dyDescent="0.25">
      <c r="A318" s="5"/>
      <c r="B318" s="14"/>
      <c r="C318" s="14"/>
      <c r="D318" s="6"/>
      <c r="E318" s="6"/>
      <c r="F318" s="25"/>
      <c r="G318" s="25"/>
      <c r="H318" s="25"/>
      <c r="I318" s="25"/>
      <c r="J318" s="25"/>
      <c r="K318" s="25"/>
      <c r="L318" s="25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35"/>
      <c r="Y318" s="35"/>
      <c r="Z318" s="36"/>
      <c r="AA318" s="35"/>
      <c r="AB318" s="35"/>
      <c r="AC318" s="35"/>
      <c r="AD318" s="35"/>
      <c r="AE318" s="35"/>
      <c r="AF318" s="35"/>
    </row>
    <row r="319" spans="1:32" x14ac:dyDescent="0.25">
      <c r="A319" s="5"/>
      <c r="B319" s="14"/>
      <c r="C319" s="14"/>
      <c r="D319" s="6"/>
      <c r="E319" s="6"/>
      <c r="F319" s="25"/>
      <c r="G319" s="25"/>
      <c r="H319" s="25"/>
      <c r="I319" s="25"/>
      <c r="J319" s="25"/>
      <c r="K319" s="25"/>
      <c r="L319" s="25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35"/>
      <c r="Y319" s="35"/>
      <c r="Z319" s="36"/>
      <c r="AA319" s="35"/>
      <c r="AB319" s="35"/>
      <c r="AC319" s="35"/>
      <c r="AD319" s="35"/>
      <c r="AE319" s="35"/>
      <c r="AF319" s="35"/>
    </row>
    <row r="320" spans="1:32" x14ac:dyDescent="0.25">
      <c r="A320" s="5"/>
      <c r="B320" s="14"/>
      <c r="C320" s="14"/>
      <c r="D320" s="6"/>
      <c r="E320" s="6"/>
      <c r="F320" s="25"/>
      <c r="G320" s="25"/>
      <c r="H320" s="25"/>
      <c r="I320" s="25"/>
      <c r="J320" s="25"/>
      <c r="K320" s="25"/>
      <c r="L320" s="25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35"/>
      <c r="Y320" s="35"/>
      <c r="Z320" s="36"/>
      <c r="AA320" s="35"/>
      <c r="AB320" s="35"/>
      <c r="AC320" s="35"/>
      <c r="AD320" s="35"/>
      <c r="AE320" s="35"/>
      <c r="AF320" s="35"/>
    </row>
    <row r="321" spans="1:33" x14ac:dyDescent="0.25">
      <c r="A321" s="5"/>
      <c r="B321" s="14"/>
      <c r="C321" s="14"/>
      <c r="D321" s="6"/>
      <c r="E321" s="6"/>
      <c r="F321" s="25"/>
      <c r="G321" s="25"/>
      <c r="H321" s="25"/>
      <c r="I321" s="25"/>
      <c r="J321" s="25"/>
      <c r="K321" s="25"/>
      <c r="L321" s="25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35"/>
      <c r="Y321" s="35"/>
      <c r="Z321" s="36"/>
      <c r="AA321" s="35"/>
      <c r="AB321" s="35"/>
      <c r="AC321" s="35"/>
      <c r="AD321" s="35"/>
      <c r="AE321" s="35"/>
      <c r="AF321" s="35"/>
    </row>
    <row r="322" spans="1:33" x14ac:dyDescent="0.25">
      <c r="A322" s="5"/>
      <c r="B322" s="14"/>
      <c r="C322" s="14"/>
      <c r="D322" s="6"/>
      <c r="E322" s="6"/>
      <c r="F322" s="25"/>
      <c r="G322" s="25"/>
      <c r="H322" s="25"/>
      <c r="I322" s="25"/>
      <c r="J322" s="25"/>
      <c r="K322" s="25"/>
      <c r="L322" s="25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35"/>
      <c r="Y322" s="35"/>
      <c r="Z322" s="36"/>
      <c r="AA322" s="35"/>
      <c r="AB322" s="35"/>
      <c r="AC322" s="35"/>
      <c r="AD322" s="35"/>
      <c r="AE322" s="35"/>
      <c r="AF322" s="35"/>
    </row>
    <row r="323" spans="1:33" x14ac:dyDescent="0.25">
      <c r="A323" s="5"/>
      <c r="B323" s="14"/>
      <c r="C323" s="14"/>
      <c r="D323" s="6"/>
      <c r="E323" s="6"/>
      <c r="F323" s="25"/>
      <c r="G323" s="25"/>
      <c r="H323" s="25"/>
      <c r="I323" s="25"/>
      <c r="J323" s="25"/>
      <c r="K323" s="25"/>
      <c r="L323" s="25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35"/>
      <c r="Y323" s="35"/>
      <c r="Z323" s="36"/>
      <c r="AA323" s="35"/>
      <c r="AB323" s="35"/>
      <c r="AC323" s="35"/>
      <c r="AD323" s="35"/>
      <c r="AE323" s="35"/>
      <c r="AF323" s="35"/>
    </row>
    <row r="324" spans="1:33" x14ac:dyDescent="0.25">
      <c r="A324" s="5"/>
      <c r="B324" s="14"/>
      <c r="C324" s="14"/>
      <c r="D324" s="6"/>
      <c r="E324" s="6"/>
      <c r="F324" s="25"/>
      <c r="G324" s="25"/>
      <c r="H324" s="25"/>
      <c r="I324" s="25"/>
      <c r="J324" s="25"/>
      <c r="K324" s="25"/>
      <c r="L324" s="25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35"/>
      <c r="Y324" s="35"/>
      <c r="Z324" s="36"/>
      <c r="AA324" s="35"/>
      <c r="AB324" s="35"/>
      <c r="AC324" s="35"/>
      <c r="AD324" s="35"/>
      <c r="AE324" s="35"/>
      <c r="AF324" s="35"/>
    </row>
    <row r="325" spans="1:33" x14ac:dyDescent="0.25">
      <c r="A325" s="5"/>
      <c r="B325" s="14"/>
      <c r="C325" s="14"/>
      <c r="D325" s="6"/>
      <c r="E325" s="6"/>
      <c r="F325" s="25"/>
      <c r="G325" s="25"/>
      <c r="H325" s="25"/>
      <c r="I325" s="25"/>
      <c r="J325" s="25"/>
      <c r="K325" s="25"/>
      <c r="L325" s="25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35"/>
      <c r="Y325" s="35"/>
      <c r="Z325" s="36"/>
      <c r="AA325" s="35"/>
      <c r="AB325" s="35"/>
      <c r="AC325" s="35"/>
      <c r="AD325" s="35"/>
      <c r="AE325" s="35"/>
      <c r="AF325" s="35"/>
    </row>
    <row r="326" spans="1:33" x14ac:dyDescent="0.25">
      <c r="A326" s="5"/>
      <c r="B326" s="14"/>
      <c r="C326" s="14"/>
      <c r="D326" s="6"/>
      <c r="E326" s="6"/>
      <c r="F326" s="25"/>
      <c r="G326" s="25"/>
      <c r="H326" s="25"/>
      <c r="I326" s="25"/>
      <c r="J326" s="25"/>
      <c r="K326" s="25"/>
      <c r="L326" s="25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35"/>
      <c r="Y326" s="35"/>
      <c r="Z326" s="36"/>
      <c r="AA326" s="35"/>
      <c r="AB326" s="35"/>
      <c r="AC326" s="35"/>
      <c r="AD326" s="35"/>
      <c r="AE326" s="35"/>
      <c r="AF326" s="35"/>
    </row>
    <row r="327" spans="1:33" x14ac:dyDescent="0.25">
      <c r="A327" s="5"/>
      <c r="B327" s="14"/>
      <c r="C327" s="14"/>
      <c r="D327" s="6"/>
      <c r="E327" s="6"/>
      <c r="F327" s="25"/>
      <c r="G327" s="25"/>
      <c r="H327" s="25"/>
      <c r="I327" s="25"/>
      <c r="J327" s="25"/>
      <c r="K327" s="25"/>
      <c r="L327" s="25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35"/>
      <c r="Y327" s="35"/>
      <c r="Z327" s="36"/>
      <c r="AA327" s="35"/>
      <c r="AB327" s="35"/>
      <c r="AC327" s="35"/>
      <c r="AD327" s="35"/>
      <c r="AE327" s="35"/>
      <c r="AF327" s="35"/>
    </row>
    <row r="328" spans="1:33" x14ac:dyDescent="0.25">
      <c r="A328" s="5"/>
      <c r="B328" s="14"/>
      <c r="C328" s="14"/>
      <c r="D328" s="6"/>
      <c r="E328" s="6"/>
      <c r="F328" s="25"/>
      <c r="G328" s="25"/>
      <c r="H328" s="25"/>
      <c r="I328" s="25"/>
      <c r="J328" s="25"/>
      <c r="K328" s="25"/>
      <c r="L328" s="25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35"/>
      <c r="Y328" s="35"/>
      <c r="Z328" s="36"/>
      <c r="AA328" s="35"/>
      <c r="AB328" s="35"/>
      <c r="AC328" s="35"/>
      <c r="AD328" s="35"/>
      <c r="AE328" s="35"/>
      <c r="AF328" s="35"/>
    </row>
    <row r="329" spans="1:33" x14ac:dyDescent="0.25">
      <c r="A329" s="5"/>
      <c r="B329" s="14"/>
      <c r="C329" s="14"/>
      <c r="D329" s="6"/>
      <c r="E329" s="6"/>
      <c r="F329" s="25"/>
      <c r="G329" s="25"/>
      <c r="H329" s="25"/>
      <c r="I329" s="25"/>
      <c r="J329" s="25"/>
      <c r="K329" s="25"/>
      <c r="L329" s="25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35"/>
      <c r="Y329" s="35"/>
      <c r="Z329" s="36"/>
      <c r="AA329" s="35"/>
      <c r="AB329" s="35"/>
      <c r="AC329" s="35"/>
      <c r="AD329" s="35"/>
      <c r="AE329" s="35"/>
      <c r="AF329" s="35"/>
    </row>
    <row r="330" spans="1:33" x14ac:dyDescent="0.25">
      <c r="A330" s="5"/>
      <c r="B330" s="14"/>
      <c r="C330" s="14"/>
      <c r="D330" s="6"/>
      <c r="E330" s="6"/>
      <c r="F330" s="25"/>
      <c r="G330" s="25"/>
      <c r="H330" s="25"/>
      <c r="I330" s="25"/>
      <c r="J330" s="25"/>
      <c r="K330" s="25"/>
      <c r="L330" s="25"/>
      <c r="M330" s="28"/>
      <c r="N330" s="28"/>
      <c r="O330" s="28"/>
      <c r="P330" s="28"/>
      <c r="Q330" s="28"/>
      <c r="R330" s="28"/>
      <c r="S330" s="28"/>
      <c r="T330" s="28"/>
      <c r="U330" s="28"/>
      <c r="V330" s="25"/>
      <c r="W330" s="28"/>
      <c r="X330" s="35"/>
      <c r="Y330" s="35"/>
      <c r="Z330" s="36"/>
      <c r="AA330" s="35"/>
      <c r="AB330" s="35"/>
      <c r="AC330" s="35"/>
      <c r="AD330" s="35"/>
      <c r="AE330" s="35"/>
      <c r="AF330" s="35"/>
      <c r="AG330" s="35"/>
    </row>
    <row r="331" spans="1:33" x14ac:dyDescent="0.25">
      <c r="A331" s="5"/>
      <c r="B331" s="14"/>
      <c r="C331" s="14"/>
      <c r="D331" s="6"/>
      <c r="E331" s="6"/>
      <c r="F331" s="25"/>
      <c r="G331" s="25"/>
      <c r="H331" s="25"/>
      <c r="I331" s="25"/>
      <c r="J331" s="25"/>
      <c r="K331" s="25"/>
      <c r="L331" s="25"/>
      <c r="M331" s="28"/>
      <c r="N331" s="28"/>
      <c r="O331" s="28"/>
      <c r="P331" s="28"/>
      <c r="Q331" s="28"/>
      <c r="R331" s="28"/>
      <c r="S331" s="28"/>
      <c r="T331" s="28"/>
      <c r="U331" s="28"/>
      <c r="V331" s="25"/>
      <c r="W331" s="28"/>
      <c r="X331" s="35"/>
      <c r="Y331" s="35"/>
      <c r="Z331" s="36"/>
      <c r="AA331" s="35"/>
      <c r="AB331" s="35"/>
      <c r="AC331" s="35"/>
      <c r="AD331" s="35"/>
      <c r="AE331" s="35"/>
      <c r="AF331" s="35"/>
    </row>
    <row r="332" spans="1:33" x14ac:dyDescent="0.25">
      <c r="A332" s="5"/>
      <c r="B332" s="14"/>
      <c r="C332" s="14"/>
      <c r="D332" s="6"/>
      <c r="E332" s="6"/>
    </row>
    <row r="333" spans="1:33" x14ac:dyDescent="0.25">
      <c r="A333" s="5"/>
      <c r="B333" s="14"/>
      <c r="C333" s="14"/>
      <c r="D333" s="6"/>
      <c r="E333" s="6"/>
    </row>
    <row r="334" spans="1:33" x14ac:dyDescent="0.25">
      <c r="A334" s="5"/>
      <c r="B334" s="14"/>
      <c r="C334" s="14"/>
      <c r="D334" s="6"/>
      <c r="E334" s="6"/>
    </row>
    <row r="335" spans="1:33" x14ac:dyDescent="0.25">
      <c r="A335" s="5"/>
      <c r="B335" s="14"/>
      <c r="C335" s="14"/>
      <c r="D335" s="6"/>
      <c r="E335" s="6"/>
    </row>
    <row r="336" spans="1:33" x14ac:dyDescent="0.25">
      <c r="A336" s="5"/>
      <c r="B336" s="14"/>
      <c r="C336" s="14"/>
      <c r="D336" s="6"/>
      <c r="E336" s="6"/>
    </row>
    <row r="337" spans="1:32" x14ac:dyDescent="0.25">
      <c r="A337" s="5"/>
      <c r="B337" s="14"/>
      <c r="C337" s="14"/>
      <c r="D337" s="6"/>
      <c r="E337" s="6"/>
    </row>
    <row r="338" spans="1:32" x14ac:dyDescent="0.25">
      <c r="A338" s="5"/>
      <c r="B338" s="14"/>
      <c r="C338" s="14"/>
      <c r="D338" s="6"/>
      <c r="E338" s="6"/>
    </row>
    <row r="339" spans="1:32" x14ac:dyDescent="0.25">
      <c r="A339" s="5"/>
      <c r="B339" s="14"/>
      <c r="C339" s="14"/>
      <c r="D339" s="6"/>
      <c r="E339" s="6"/>
    </row>
    <row r="340" spans="1:32" x14ac:dyDescent="0.25">
      <c r="A340" s="5"/>
      <c r="B340" s="14"/>
      <c r="C340" s="14"/>
      <c r="D340" s="6"/>
      <c r="E340" s="6"/>
    </row>
    <row r="342" spans="1:32" x14ac:dyDescent="0.25">
      <c r="AF342" s="54"/>
    </row>
    <row r="344" spans="1:32" x14ac:dyDescent="0.25">
      <c r="I344" s="51"/>
      <c r="J344" s="51"/>
    </row>
    <row r="345" spans="1:32" x14ac:dyDescent="0.25">
      <c r="I345" s="51"/>
    </row>
    <row r="346" spans="1:32" x14ac:dyDescent="0.25">
      <c r="I346" s="51"/>
      <c r="J346" s="52"/>
    </row>
  </sheetData>
  <autoFilter ref="A5:E11"/>
  <conditionalFormatting sqref="Z245:Z331 Z6:Z221">
    <cfRule type="cellIs" dxfId="20" priority="14" operator="notBetween">
      <formula>0.998</formula>
      <formula>1.002</formula>
    </cfRule>
  </conditionalFormatting>
  <pageMargins left="0.7" right="0.7" top="0.75" bottom="0.75" header="0.3" footer="0.3"/>
  <pageSetup scale="57" fitToWidth="5" orientation="landscape" r:id="rId1"/>
  <colBreaks count="2" manualBreakCount="2">
    <brk id="12" max="34" man="1"/>
    <brk id="23" max="34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5" tint="0.39997558519241921"/>
    <pageSetUpPr fitToPage="1"/>
  </sheetPr>
  <dimension ref="A1:BQ267"/>
  <sheetViews>
    <sheetView workbookViewId="0"/>
  </sheetViews>
  <sheetFormatPr defaultColWidth="9.140625" defaultRowHeight="12.75" x14ac:dyDescent="0.2"/>
  <cols>
    <col min="1" max="2" width="9.140625" style="13" customWidth="1"/>
    <col min="3" max="3" width="9.140625" style="50" customWidth="1"/>
    <col min="4" max="4" width="9.140625" style="50"/>
    <col min="5" max="5" width="14" style="50" bestFit="1" customWidth="1"/>
    <col min="6" max="6" width="9.140625" style="13"/>
    <col min="7" max="7" width="17.28515625" style="13" customWidth="1"/>
    <col min="8" max="8" width="15.140625" style="13" customWidth="1"/>
    <col min="9" max="9" width="13.140625" style="13" customWidth="1"/>
    <col min="10" max="10" width="11.85546875" style="13" customWidth="1"/>
    <col min="11" max="11" width="14.28515625" style="13" customWidth="1"/>
    <col min="12" max="12" width="12.5703125" style="13" customWidth="1"/>
    <col min="13" max="13" width="13.5703125" style="13" customWidth="1"/>
    <col min="14" max="14" width="13.7109375" style="13" customWidth="1"/>
    <col min="15" max="15" width="13.42578125" style="13" customWidth="1"/>
    <col min="16" max="16" width="11.5703125" style="13" customWidth="1"/>
    <col min="17" max="17" width="11.140625" style="13" customWidth="1"/>
    <col min="18" max="18" width="11" style="13" customWidth="1"/>
    <col min="19" max="19" width="11.7109375" style="13" customWidth="1"/>
    <col min="20" max="20" width="11" style="13" customWidth="1"/>
    <col min="21" max="21" width="10.28515625" style="13" customWidth="1"/>
    <col min="22" max="22" width="13.5703125" style="13" customWidth="1"/>
    <col min="23" max="23" width="17.28515625" style="13" customWidth="1"/>
    <col min="24" max="24" width="14.42578125" style="13" customWidth="1"/>
    <col min="25" max="25" width="14" style="13" customWidth="1"/>
    <col min="26" max="26" width="17.28515625" style="13" customWidth="1"/>
    <col min="27" max="27" width="17.7109375" style="13" customWidth="1"/>
    <col min="28" max="28" width="15.42578125" style="13" customWidth="1"/>
    <col min="29" max="29" width="10" style="13" customWidth="1"/>
    <col min="30" max="30" width="9.140625" style="13" customWidth="1"/>
    <col min="31" max="31" width="13" style="13" customWidth="1"/>
    <col min="32" max="32" width="14.85546875" style="13" customWidth="1"/>
    <col min="33" max="34" width="10.42578125" style="13" customWidth="1"/>
    <col min="35" max="35" width="13.7109375" style="13" customWidth="1"/>
    <col min="36" max="36" width="11" style="13" customWidth="1"/>
    <col min="37" max="37" width="13.140625" style="13" customWidth="1"/>
    <col min="38" max="38" width="11.5703125" style="13" customWidth="1"/>
    <col min="39" max="39" width="15.28515625" style="13" customWidth="1"/>
    <col min="40" max="40" width="9.140625" style="13" customWidth="1"/>
    <col min="41" max="41" width="14.140625" style="13" customWidth="1"/>
    <col min="42" max="42" width="16.28515625" style="13" bestFit="1" customWidth="1"/>
    <col min="43" max="43" width="14.140625" style="13" customWidth="1"/>
    <col min="44" max="44" width="15.7109375" style="13" customWidth="1"/>
    <col min="45" max="45" width="14" style="13" customWidth="1"/>
    <col min="46" max="46" width="16.7109375" style="13" customWidth="1"/>
    <col min="47" max="47" width="15.140625" style="13" customWidth="1"/>
    <col min="48" max="49" width="15.28515625" style="13" customWidth="1"/>
    <col min="50" max="50" width="15.42578125" style="13" customWidth="1"/>
    <col min="51" max="51" width="12.85546875" style="13" bestFit="1" customWidth="1"/>
    <col min="52" max="52" width="17.28515625" style="13" customWidth="1"/>
    <col min="53" max="53" width="16.7109375" style="13" customWidth="1"/>
    <col min="54" max="54" width="15.85546875" style="13" customWidth="1"/>
    <col min="55" max="55" width="14.5703125" style="13" customWidth="1"/>
    <col min="56" max="56" width="17.85546875" style="13" customWidth="1"/>
    <col min="57" max="57" width="16.140625" style="13" customWidth="1"/>
    <col min="58" max="58" width="13.28515625" style="13" customWidth="1"/>
    <col min="59" max="59" width="16" style="13" customWidth="1"/>
    <col min="60" max="60" width="15.85546875" style="13" customWidth="1"/>
    <col min="61" max="61" width="12.85546875" style="13" bestFit="1" customWidth="1"/>
    <col min="62" max="62" width="14.85546875" style="13" bestFit="1" customWidth="1"/>
    <col min="63" max="63" width="12.140625" style="13" bestFit="1" customWidth="1"/>
    <col min="64" max="64" width="14.28515625" style="13" bestFit="1" customWidth="1"/>
    <col min="65" max="65" width="9.140625" style="13"/>
    <col min="66" max="66" width="16" style="13" customWidth="1"/>
    <col min="67" max="67" width="15.28515625" style="13" bestFit="1" customWidth="1"/>
    <col min="68" max="68" width="14" style="13" customWidth="1"/>
    <col min="69" max="69" width="12.42578125" style="13" bestFit="1" customWidth="1"/>
    <col min="70" max="70" width="15.5703125" style="13" customWidth="1"/>
    <col min="71" max="71" width="10.85546875" style="13" bestFit="1" customWidth="1"/>
    <col min="72" max="16384" width="9.140625" style="13"/>
  </cols>
  <sheetData>
    <row r="1" spans="1:69" ht="13.5" thickBot="1" x14ac:dyDescent="0.25">
      <c r="C1" s="6"/>
      <c r="D1" s="6"/>
      <c r="E1" s="6"/>
      <c r="F1" s="6"/>
      <c r="G1" s="6"/>
      <c r="H1" s="17"/>
      <c r="I1" s="17"/>
      <c r="J1" s="17"/>
      <c r="K1" s="17"/>
      <c r="L1" s="17"/>
      <c r="M1" s="17"/>
      <c r="N1" s="20"/>
      <c r="O1" s="20"/>
      <c r="P1" s="20"/>
      <c r="Q1" s="20"/>
      <c r="R1" s="20"/>
      <c r="S1" s="20"/>
      <c r="T1" s="20"/>
      <c r="U1" s="20"/>
      <c r="V1" s="20"/>
      <c r="W1" s="17"/>
      <c r="X1" s="17"/>
      <c r="Y1" s="28"/>
      <c r="Z1" s="28"/>
      <c r="AA1" s="17"/>
      <c r="AB1" s="17"/>
      <c r="AC1" s="17"/>
      <c r="AD1" s="17"/>
      <c r="AE1" s="17"/>
      <c r="AF1" s="17"/>
      <c r="AG1" s="37"/>
      <c r="AH1" s="37"/>
      <c r="AI1" s="37"/>
      <c r="AJ1" s="37"/>
      <c r="AK1" s="37"/>
      <c r="AL1" s="37"/>
      <c r="AM1" s="37"/>
      <c r="AN1" s="37"/>
      <c r="AO1" s="37"/>
      <c r="AP1" s="17"/>
      <c r="AQ1" s="28"/>
      <c r="AR1" s="28"/>
      <c r="AS1" s="17"/>
      <c r="AT1" s="17"/>
      <c r="AU1" s="17"/>
      <c r="AV1" s="17"/>
      <c r="AW1" s="17"/>
      <c r="AX1" s="17"/>
      <c r="AY1" s="17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</row>
    <row r="2" spans="1:69" ht="13.5" thickBot="1" x14ac:dyDescent="0.25">
      <c r="C2" s="6"/>
      <c r="D2" s="6"/>
      <c r="E2" s="6"/>
      <c r="F2" s="6"/>
      <c r="G2" s="6"/>
      <c r="H2" s="25"/>
      <c r="I2" s="25"/>
      <c r="J2" s="25"/>
      <c r="K2" s="25"/>
      <c r="L2" s="25"/>
      <c r="M2" s="17"/>
      <c r="N2" s="20"/>
      <c r="O2" s="20"/>
      <c r="P2" s="20"/>
      <c r="Q2" s="20"/>
      <c r="R2" s="20"/>
      <c r="S2" s="20"/>
      <c r="T2" s="20"/>
      <c r="U2" s="20"/>
      <c r="V2" s="20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37"/>
      <c r="AH2" s="37"/>
      <c r="AI2" s="37"/>
      <c r="AJ2" s="37"/>
      <c r="AK2" s="37"/>
      <c r="AL2" s="37"/>
      <c r="AM2" s="37"/>
      <c r="AN2" s="37"/>
      <c r="AO2" s="3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M2" s="55" t="s">
        <v>36</v>
      </c>
    </row>
    <row r="3" spans="1:69" ht="13.5" thickBot="1" x14ac:dyDescent="0.25">
      <c r="C3" s="6">
        <v>1</v>
      </c>
      <c r="D3" s="6">
        <f>1+C3</f>
        <v>2</v>
      </c>
      <c r="E3" s="6">
        <f>1+D3</f>
        <v>3</v>
      </c>
      <c r="F3" s="6">
        <f>1+E3</f>
        <v>4</v>
      </c>
      <c r="G3" s="6">
        <f>1+F3</f>
        <v>5</v>
      </c>
      <c r="H3" s="17">
        <f t="shared" ref="H3:Z3" si="0">+G3+1</f>
        <v>6</v>
      </c>
      <c r="I3" s="17">
        <f t="shared" si="0"/>
        <v>7</v>
      </c>
      <c r="J3" s="17">
        <f t="shared" si="0"/>
        <v>8</v>
      </c>
      <c r="K3" s="17">
        <f t="shared" si="0"/>
        <v>9</v>
      </c>
      <c r="L3" s="17">
        <f t="shared" si="0"/>
        <v>10</v>
      </c>
      <c r="M3" s="17">
        <f t="shared" si="0"/>
        <v>11</v>
      </c>
      <c r="N3" s="20">
        <f t="shared" si="0"/>
        <v>12</v>
      </c>
      <c r="O3" s="20">
        <f t="shared" si="0"/>
        <v>13</v>
      </c>
      <c r="P3" s="20">
        <f t="shared" si="0"/>
        <v>14</v>
      </c>
      <c r="Q3" s="20">
        <f t="shared" si="0"/>
        <v>15</v>
      </c>
      <c r="R3" s="20">
        <f t="shared" si="0"/>
        <v>16</v>
      </c>
      <c r="S3" s="20">
        <f t="shared" si="0"/>
        <v>17</v>
      </c>
      <c r="T3" s="20">
        <f t="shared" si="0"/>
        <v>18</v>
      </c>
      <c r="U3" s="20">
        <f t="shared" si="0"/>
        <v>19</v>
      </c>
      <c r="V3" s="20">
        <f t="shared" si="0"/>
        <v>20</v>
      </c>
      <c r="W3" s="17">
        <f t="shared" si="0"/>
        <v>21</v>
      </c>
      <c r="X3" s="17">
        <f t="shared" si="0"/>
        <v>22</v>
      </c>
      <c r="Y3" s="17">
        <f t="shared" si="0"/>
        <v>23</v>
      </c>
      <c r="Z3" s="17">
        <f t="shared" si="0"/>
        <v>24</v>
      </c>
      <c r="AA3" s="17">
        <f t="shared" ref="AA3:AF3" si="1">+Z3+1</f>
        <v>25</v>
      </c>
      <c r="AB3" s="17">
        <f>+AA3+1</f>
        <v>26</v>
      </c>
      <c r="AC3" s="17">
        <f>+AB3+1</f>
        <v>27</v>
      </c>
      <c r="AD3" s="17">
        <f>+AC3+1</f>
        <v>28</v>
      </c>
      <c r="AE3" s="17">
        <f t="shared" si="1"/>
        <v>29</v>
      </c>
      <c r="AF3" s="17">
        <f t="shared" si="1"/>
        <v>30</v>
      </c>
      <c r="AG3" s="37">
        <f t="shared" ref="AG3:AY3" si="2">+AF3+1</f>
        <v>31</v>
      </c>
      <c r="AH3" s="37">
        <f t="shared" si="2"/>
        <v>32</v>
      </c>
      <c r="AI3" s="37">
        <f t="shared" si="2"/>
        <v>33</v>
      </c>
      <c r="AJ3" s="37">
        <f t="shared" si="2"/>
        <v>34</v>
      </c>
      <c r="AK3" s="37">
        <f t="shared" si="2"/>
        <v>35</v>
      </c>
      <c r="AL3" s="37">
        <f t="shared" si="2"/>
        <v>36</v>
      </c>
      <c r="AM3" s="37">
        <f t="shared" si="2"/>
        <v>37</v>
      </c>
      <c r="AN3" s="37">
        <f t="shared" si="2"/>
        <v>38</v>
      </c>
      <c r="AO3" s="37">
        <f t="shared" si="2"/>
        <v>39</v>
      </c>
      <c r="AP3" s="17">
        <f t="shared" si="2"/>
        <v>40</v>
      </c>
      <c r="AQ3" s="17">
        <f t="shared" si="2"/>
        <v>41</v>
      </c>
      <c r="AR3" s="17">
        <f t="shared" si="2"/>
        <v>42</v>
      </c>
      <c r="AS3" s="17">
        <f t="shared" si="2"/>
        <v>43</v>
      </c>
      <c r="AT3" s="17">
        <f>+AS3+1</f>
        <v>44</v>
      </c>
      <c r="AU3" s="17">
        <f t="shared" si="2"/>
        <v>45</v>
      </c>
      <c r="AV3" s="17">
        <f t="shared" si="2"/>
        <v>46</v>
      </c>
      <c r="AW3" s="17"/>
      <c r="AX3" s="17">
        <f>+AV3+1</f>
        <v>47</v>
      </c>
      <c r="AY3" s="17">
        <f t="shared" si="2"/>
        <v>48</v>
      </c>
      <c r="AZ3" s="20">
        <f>1+AY3</f>
        <v>49</v>
      </c>
      <c r="BA3" s="20">
        <f t="shared" ref="BA3:BH3" si="3">1+AZ3</f>
        <v>50</v>
      </c>
      <c r="BB3" s="20">
        <f t="shared" si="3"/>
        <v>51</v>
      </c>
      <c r="BC3" s="20">
        <f>1+BB3</f>
        <v>52</v>
      </c>
      <c r="BD3" s="20">
        <f t="shared" si="3"/>
        <v>53</v>
      </c>
      <c r="BE3" s="20">
        <f t="shared" si="3"/>
        <v>54</v>
      </c>
      <c r="BF3" s="20">
        <f t="shared" si="3"/>
        <v>55</v>
      </c>
      <c r="BG3" s="20">
        <f t="shared" si="3"/>
        <v>56</v>
      </c>
      <c r="BH3" s="20">
        <f t="shared" si="3"/>
        <v>57</v>
      </c>
      <c r="BI3" s="20">
        <f>1+BH3</f>
        <v>58</v>
      </c>
      <c r="BJ3" s="20">
        <v>59</v>
      </c>
      <c r="BM3" s="55" t="s">
        <v>37</v>
      </c>
    </row>
    <row r="4" spans="1:69" x14ac:dyDescent="0.2">
      <c r="C4" s="7"/>
      <c r="D4" s="8"/>
      <c r="E4" s="8"/>
      <c r="F4" s="8"/>
      <c r="G4" s="8"/>
      <c r="H4" s="18" t="s">
        <v>542</v>
      </c>
      <c r="I4" s="18"/>
      <c r="J4" s="18"/>
      <c r="K4" s="19"/>
      <c r="L4" s="19"/>
      <c r="M4" s="19"/>
      <c r="N4" s="21" t="s">
        <v>540</v>
      </c>
      <c r="O4" s="22"/>
      <c r="P4" s="22"/>
      <c r="Q4" s="22"/>
      <c r="R4" s="22"/>
      <c r="S4" s="22"/>
      <c r="T4" s="22"/>
      <c r="U4" s="22"/>
      <c r="V4" s="22"/>
      <c r="W4" s="18" t="s">
        <v>541</v>
      </c>
      <c r="X4" s="18"/>
      <c r="Y4" s="19"/>
      <c r="Z4" s="19"/>
      <c r="AA4" s="19"/>
      <c r="AB4" s="19"/>
      <c r="AC4" s="29"/>
      <c r="AD4" s="29"/>
      <c r="AE4" s="19"/>
      <c r="AF4" s="19"/>
      <c r="AG4" s="41" t="s">
        <v>174</v>
      </c>
      <c r="AH4" s="41"/>
      <c r="AI4" s="41"/>
      <c r="AJ4" s="38"/>
      <c r="AK4" s="38"/>
      <c r="AL4" s="38"/>
      <c r="AM4" s="38"/>
      <c r="AN4" s="38"/>
      <c r="AO4" s="38"/>
      <c r="AP4" s="18" t="s">
        <v>543</v>
      </c>
      <c r="AQ4" s="19"/>
      <c r="AR4" s="19"/>
      <c r="AS4" s="19"/>
      <c r="AT4" s="19"/>
      <c r="AU4" s="19"/>
      <c r="AV4" s="19"/>
      <c r="AW4" s="19"/>
      <c r="AX4" s="19"/>
      <c r="AY4" s="19"/>
      <c r="AZ4" s="21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30"/>
    </row>
    <row r="5" spans="1:69" ht="38.25" x14ac:dyDescent="0.2">
      <c r="C5" s="9" t="s">
        <v>151</v>
      </c>
      <c r="D5" s="10" t="s">
        <v>149</v>
      </c>
      <c r="E5" s="10" t="s">
        <v>1</v>
      </c>
      <c r="F5" s="9" t="s">
        <v>152</v>
      </c>
      <c r="G5" s="9" t="s">
        <v>153</v>
      </c>
      <c r="H5" s="15" t="s">
        <v>158</v>
      </c>
      <c r="I5" s="15" t="s">
        <v>197</v>
      </c>
      <c r="J5" s="15" t="s">
        <v>198</v>
      </c>
      <c r="K5" s="16" t="s">
        <v>161</v>
      </c>
      <c r="L5" s="16" t="s">
        <v>162</v>
      </c>
      <c r="M5" s="16" t="s">
        <v>208</v>
      </c>
      <c r="N5" s="23" t="s">
        <v>159</v>
      </c>
      <c r="O5" s="23" t="s">
        <v>163</v>
      </c>
      <c r="P5" s="23" t="s">
        <v>166</v>
      </c>
      <c r="Q5" s="23" t="s">
        <v>167</v>
      </c>
      <c r="R5" s="23" t="s">
        <v>178</v>
      </c>
      <c r="S5" s="23" t="s">
        <v>155</v>
      </c>
      <c r="T5" s="23" t="s">
        <v>156</v>
      </c>
      <c r="U5" s="23" t="s">
        <v>157</v>
      </c>
      <c r="V5" s="23" t="s">
        <v>424</v>
      </c>
      <c r="W5" s="16" t="s">
        <v>336</v>
      </c>
      <c r="X5" s="15" t="s">
        <v>201</v>
      </c>
      <c r="Y5" s="16" t="s">
        <v>168</v>
      </c>
      <c r="Z5" s="16" t="s">
        <v>166</v>
      </c>
      <c r="AA5" s="16" t="s">
        <v>167</v>
      </c>
      <c r="AB5" s="16" t="s">
        <v>178</v>
      </c>
      <c r="AC5" s="16" t="s">
        <v>155</v>
      </c>
      <c r="AD5" s="15" t="s">
        <v>264</v>
      </c>
      <c r="AE5" s="16" t="s">
        <v>157</v>
      </c>
      <c r="AF5" s="16" t="s">
        <v>424</v>
      </c>
      <c r="AG5" s="45" t="s">
        <v>199</v>
      </c>
      <c r="AH5" s="45" t="s">
        <v>200</v>
      </c>
      <c r="AI5" s="39" t="s">
        <v>175</v>
      </c>
      <c r="AJ5" s="39" t="s">
        <v>168</v>
      </c>
      <c r="AK5" s="39" t="s">
        <v>166</v>
      </c>
      <c r="AL5" s="45" t="s">
        <v>167</v>
      </c>
      <c r="AM5" s="39" t="s">
        <v>238</v>
      </c>
      <c r="AN5" s="39" t="s">
        <v>180</v>
      </c>
      <c r="AO5" s="39" t="s">
        <v>157</v>
      </c>
      <c r="AP5" s="16" t="s">
        <v>164</v>
      </c>
      <c r="AQ5" s="16" t="s">
        <v>168</v>
      </c>
      <c r="AR5" s="16" t="s">
        <v>166</v>
      </c>
      <c r="AS5" s="16" t="s">
        <v>167</v>
      </c>
      <c r="AT5" s="16" t="s">
        <v>178</v>
      </c>
      <c r="AU5" s="16" t="s">
        <v>180</v>
      </c>
      <c r="AV5" s="16" t="s">
        <v>216</v>
      </c>
      <c r="AW5" s="16" t="s">
        <v>424</v>
      </c>
      <c r="AX5" s="16" t="s">
        <v>157</v>
      </c>
      <c r="AY5" s="56" t="s">
        <v>172</v>
      </c>
      <c r="AZ5" s="24" t="s">
        <v>169</v>
      </c>
      <c r="BA5" s="24" t="s">
        <v>544</v>
      </c>
      <c r="BB5" s="23" t="s">
        <v>170</v>
      </c>
      <c r="BC5" s="24" t="s">
        <v>180</v>
      </c>
      <c r="BD5" s="24" t="s">
        <v>178</v>
      </c>
      <c r="BE5" s="24" t="s">
        <v>216</v>
      </c>
      <c r="BF5" s="31" t="s">
        <v>172</v>
      </c>
      <c r="BG5" s="32" t="s">
        <v>154</v>
      </c>
      <c r="BH5" s="33" t="s">
        <v>436</v>
      </c>
      <c r="BI5" s="33" t="s">
        <v>208</v>
      </c>
      <c r="BJ5" s="33" t="s">
        <v>424</v>
      </c>
      <c r="BK5" s="34"/>
      <c r="BN5" s="50" t="s">
        <v>175</v>
      </c>
      <c r="BO5" s="50" t="s">
        <v>202</v>
      </c>
      <c r="BP5" s="50" t="s">
        <v>203</v>
      </c>
    </row>
    <row r="6" spans="1:69" s="351" customFormat="1" x14ac:dyDescent="0.2">
      <c r="C6" s="352"/>
      <c r="D6" s="353"/>
      <c r="E6" s="353"/>
      <c r="F6" s="352"/>
      <c r="G6" s="352"/>
      <c r="H6" s="354"/>
      <c r="I6" s="354"/>
      <c r="J6" s="354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5"/>
      <c r="X6" s="354"/>
      <c r="Y6" s="355"/>
      <c r="Z6" s="355"/>
      <c r="AA6" s="355"/>
      <c r="AB6" s="355"/>
      <c r="AC6" s="355"/>
      <c r="AD6" s="354"/>
      <c r="AE6" s="355"/>
      <c r="AF6" s="355"/>
      <c r="AG6" s="354"/>
      <c r="AH6" s="354"/>
      <c r="AI6" s="355"/>
      <c r="AJ6" s="355"/>
      <c r="AK6" s="355"/>
      <c r="AL6" s="354"/>
      <c r="AM6" s="355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6"/>
      <c r="AZ6" s="354"/>
      <c r="BA6" s="354"/>
      <c r="BB6" s="355"/>
      <c r="BC6" s="354"/>
      <c r="BD6" s="354"/>
      <c r="BE6" s="354"/>
      <c r="BF6" s="357"/>
      <c r="BG6" s="358"/>
      <c r="BH6" s="359"/>
      <c r="BI6" s="359"/>
      <c r="BJ6" s="359"/>
      <c r="BK6" s="359"/>
      <c r="BN6" s="360"/>
      <c r="BO6" s="360"/>
      <c r="BP6" s="360"/>
    </row>
    <row r="7" spans="1:69" ht="15" customHeight="1" x14ac:dyDescent="0.25">
      <c r="C7" s="6">
        <v>1</v>
      </c>
      <c r="D7" s="361">
        <v>42917</v>
      </c>
      <c r="E7" s="361" t="str">
        <f>+'Retail Rates'!$B$7</f>
        <v>LGCMG865</v>
      </c>
      <c r="F7" s="6" t="str">
        <f>MID(E7,6,3)</f>
        <v>865</v>
      </c>
      <c r="G7" s="6" t="str">
        <f>VLOOKUP(E7,'Retail Rates'!$B$7:$D$34,3,FALSE)</f>
        <v>AAGS-C</v>
      </c>
      <c r="H7" s="25">
        <f>SUMIF('Forcasted Customer Cts'!$D$5:$D$36,'Jul17-Jun18 Retail'!$E7,'Forcasted Customer Cts'!$P$5:$P$36)</f>
        <v>4</v>
      </c>
      <c r="I7" s="25"/>
      <c r="J7" s="25"/>
      <c r="K7" s="25">
        <f>SUMIF('Forecasted Calendar Month Usage'!$D$5:$D$41,'Jul17-Jun18 Retail'!$E7,'Forecasted Calendar Month Usage'!$X$5:$X$41)*10</f>
        <v>112128.02066129712</v>
      </c>
      <c r="L7" s="25"/>
      <c r="M7" s="25"/>
      <c r="N7" s="26">
        <f>VLOOKUP($E7,'Retail Rates'!$B$7:$L$34,5,FALSE)</f>
        <v>400</v>
      </c>
      <c r="O7" s="26">
        <f>VLOOKUP($E7,'Retail Rates'!$B$7:$L$34,6,FALSE)</f>
        <v>0</v>
      </c>
      <c r="P7" s="27">
        <f>VLOOKUP($E7,'Retail Rates'!$B$7:$L$34,7,FALSE)</f>
        <v>7.009E-2</v>
      </c>
      <c r="Q7" s="27">
        <f>VLOOKUP($E7,'Retail Rates'!$B$7:$L$34,8,FALSE)</f>
        <v>0</v>
      </c>
      <c r="R7" s="27"/>
      <c r="S7" s="26">
        <f>VLOOKUP($E7,'Retail Rates'!$B$7:$L$34,9,FALSE)</f>
        <v>0</v>
      </c>
      <c r="T7" s="27">
        <f>VLOOKUP($E7,'Retail Rates'!$B$7:$L$34,10,FALSE)</f>
        <v>0</v>
      </c>
      <c r="U7" s="26">
        <f>VLOOKUP($E7,'Retail Rates'!$B$7:$L$34,11,FALSE)</f>
        <v>0</v>
      </c>
      <c r="V7" s="309"/>
      <c r="W7" s="28">
        <f t="shared" ref="W7" si="4">(+H7*N7)+(I7*N7)</f>
        <v>1600</v>
      </c>
      <c r="X7" s="28"/>
      <c r="Y7" s="28"/>
      <c r="Z7" s="28">
        <f t="shared" ref="Z7:Z10" si="5">+K7*P7</f>
        <v>7859.0529681503149</v>
      </c>
      <c r="AA7" s="28">
        <f t="shared" ref="AA7:AA10" si="6">+L7*Q7</f>
        <v>0</v>
      </c>
      <c r="AB7" s="28">
        <f t="shared" ref="AB7:AB12" si="7">SUM(K7:L7)*R7</f>
        <v>0</v>
      </c>
      <c r="AC7" s="28"/>
      <c r="AD7" s="28"/>
      <c r="AE7" s="28">
        <f>M7*U7</f>
        <v>0</v>
      </c>
      <c r="AF7" s="28">
        <f t="shared" ref="AF7:AF12" si="8">(+H7*V7)+(I7*V7)</f>
        <v>0</v>
      </c>
      <c r="AG7" s="48">
        <f ca="1">SUMIFS(Adjustments!H$5:H$557,Adjustments!$B$5:$B$557,'Jul17-Jun18 Retail'!$D7,Adjustments!$C$5:$C$557,'Jul17-Jun18 Retail'!$E7)</f>
        <v>0</v>
      </c>
      <c r="AH7" s="48">
        <f ca="1">SUMIFS(Adjustments!I$5:I$557,Adjustments!$B$5:$B$557,'Jul17-Jun18 Retail'!$D7,Adjustments!$C$5:$C$557,'Jul17-Jun18 Retail'!$E7)</f>
        <v>0</v>
      </c>
      <c r="AI7" s="40">
        <f ca="1">SUMIFS(Adjustments!J$5:J$557,Adjustments!$B$5:$B$557,'Jul17-Jun18 Retail'!$D7,Adjustments!$C$5:$C$557,'Jul17-Jun18 Retail'!$E7)</f>
        <v>0</v>
      </c>
      <c r="AJ7" s="40">
        <f ca="1">SUMIFS(Adjustments!K$5:K$557,Adjustments!$B$5:$B$557,'Jul17-Jun18 Retail'!$D7,Adjustments!$C$5:$C$557,'Jul17-Jun18 Retail'!$E7)</f>
        <v>0</v>
      </c>
      <c r="AK7" s="40">
        <f ca="1">SUMIFS(Adjustments!L$5:L$557,Adjustments!$B$5:$B$557,'Jul17-Jun18 Retail'!$D7,Adjustments!$C$5:$C$557,'Jul17-Jun18 Retail'!$E7)</f>
        <v>0</v>
      </c>
      <c r="AL7" s="40">
        <f ca="1">SUMIFS(Adjustments!M$5:M$557,Adjustments!$B$5:$B$557,'Jul17-Jun18 Retail'!$D7,Adjustments!$C$5:$C$557,'Jul17-Jun18 Retail'!$E7)</f>
        <v>0</v>
      </c>
      <c r="AM7" s="40">
        <f ca="1">SUMIFS(Adjustments!N$5:N$557,Adjustments!$B$5:$B$557,'Jul17-Jun18 Retail'!$D7,Adjustments!$C$5:$C$557,'Jul17-Jun18 Retail'!$E7)</f>
        <v>0</v>
      </c>
      <c r="AN7" s="40">
        <f ca="1">SUMIFS(Adjustments!O$5:O$557,Adjustments!$B$5:$B$557,'Jul17-Jun18 Retail'!$D7,Adjustments!$C$5:$C$557,'Jul17-Jun18 Retail'!$E7)</f>
        <v>0</v>
      </c>
      <c r="AO7" s="40">
        <f ca="1">SUMIFS(Adjustments!P$5:P$557,Adjustments!$B$5:$B$557,'Jul17-Jun18 Retail'!$D7,Adjustments!$C$5:$C$557,'Jul17-Jun18 Retail'!$E7)</f>
        <v>0</v>
      </c>
      <c r="AP7" s="28">
        <f t="shared" ref="AP7:AP12" ca="1" si="9">+W7+AI7+(AG7*N7)</f>
        <v>1600</v>
      </c>
      <c r="AQ7" s="28">
        <f t="shared" ref="AQ7:AQ12" ca="1" si="10">+Y7+AJ7</f>
        <v>0</v>
      </c>
      <c r="AR7" s="28">
        <f ca="1">+Z7+AK7</f>
        <v>7859.0529681503149</v>
      </c>
      <c r="AS7" s="28">
        <f t="shared" ref="AS7:AS12" ca="1" si="11">+AA7+AL7</f>
        <v>0</v>
      </c>
      <c r="AT7" s="35">
        <f>BD7</f>
        <v>40781.886996594374</v>
      </c>
      <c r="AU7" s="35">
        <f>BC7</f>
        <v>940.72606425684899</v>
      </c>
      <c r="AV7" s="35"/>
      <c r="AW7" s="35">
        <f>BJ7</f>
        <v>15809.504506422341</v>
      </c>
      <c r="AX7" s="28">
        <f t="shared" ref="AX7:AX9" ca="1" si="12">+AE7+AO7</f>
        <v>0</v>
      </c>
      <c r="AY7" s="28"/>
      <c r="AZ7" s="35">
        <f t="shared" ref="AZ7:AZ12" ca="1" si="13">ROUND(SUM(AP7:AY7),2)</f>
        <v>66991.17</v>
      </c>
      <c r="BA7" s="35">
        <f>SUM(BC7:BJ7)-BF7</f>
        <v>66991.170536033853</v>
      </c>
      <c r="BB7" s="36">
        <f t="shared" ref="BB7" ca="1" si="14">IF(BA7=0,0,ROUND(BA7/AZ7,6))</f>
        <v>1</v>
      </c>
      <c r="BC7" s="35">
        <f>SUMIFS('Fin Forecast'!$K$3:$K$600,'Fin Forecast'!$B$3:$B$600,'Jul17-Jun18 Retail'!$E7,'Fin Forecast'!$C$3:$C$600,'Jul17-Jun18 Retail'!$BC$5)*1000</f>
        <v>940.72606425684899</v>
      </c>
      <c r="BD7" s="35">
        <f>SUMIFS('Fin Forecast'!$K$3:$K$600,'Fin Forecast'!$B$3:$B$600,'Jul17-Jun18 Retail'!$E7,'Fin Forecast'!$C$3:$C$600,'Jul17-Jun18 Retail'!$BD$5)*1000</f>
        <v>40781.886996594374</v>
      </c>
      <c r="BE7" s="35"/>
      <c r="BF7" s="35"/>
      <c r="BG7" s="35">
        <f>SUMIFS('Fin Forecast'!$K$3:$K$600,'Fin Forecast'!$B$3:$B$600,'Jul17-Jun18 Retail'!$E7,'Fin Forecast'!$C$3:$C$600,'Jul17-Jun18 Retail'!$BG$5)*1000</f>
        <v>1600</v>
      </c>
      <c r="BH7" s="35">
        <f>SUMIFS('Fin Forecast'!$K$3:$K$600,'Fin Forecast'!$B$3:$B$600,'Jul17-Jun18 Retail'!$E7,'Fin Forecast'!$C$3:$C$600,'Jul17-Jun18 Retail'!$BH$5)*1000</f>
        <v>7859.0529687602902</v>
      </c>
      <c r="BI7" s="35">
        <f>SUMIFS('Fin Forecast'!$K$3:$K$600,'Fin Forecast'!$B$3:$B$600,'Jul17-Jun18 Retail'!$E7,'Fin Forecast'!$C$3:$C$600,'Jul17-Jun18 Retail'!$BI$5)*1000</f>
        <v>0</v>
      </c>
      <c r="BJ7" s="35">
        <f>SUMIFS('Fin Forecast'!$K$3:$K$600,'Fin Forecast'!$B$3:$B$600,'Jul17-Jun18 Retail'!$E7,'Fin Forecast'!$C$3:$C$600,'Jul17-Jun18 Retail'!$BJ$5)*1000</f>
        <v>15809.504506422341</v>
      </c>
      <c r="BL7" s="44">
        <f t="shared" ref="BL7:BL11" ca="1" si="15">+AZ7-BA7</f>
        <v>-5.3603385458700359E-4</v>
      </c>
      <c r="BN7" s="49">
        <f t="shared" ref="BN7:BN12" ca="1" si="16">+AP7+AQ7-BG7</f>
        <v>0</v>
      </c>
      <c r="BO7" s="49">
        <f t="shared" ref="BO7:BO12" ca="1" si="17">+AR7+AS7-BH7</f>
        <v>-6.0997535911155865E-7</v>
      </c>
      <c r="BP7" s="49">
        <f t="shared" ref="BP7:BP12" si="18">+AT7-BD7</f>
        <v>0</v>
      </c>
      <c r="BQ7" s="418"/>
    </row>
    <row r="8" spans="1:69" ht="15" customHeight="1" x14ac:dyDescent="0.25">
      <c r="C8" s="6">
        <f>C7+1</f>
        <v>2</v>
      </c>
      <c r="D8" s="361">
        <f>$D$7</f>
        <v>42917</v>
      </c>
      <c r="E8" s="361" t="str">
        <f>+'Retail Rates'!$B$10</f>
        <v>LGING866</v>
      </c>
      <c r="F8" s="6" t="str">
        <f t="shared" ref="F8:F12" si="19">MID(E8,6,3)</f>
        <v>866</v>
      </c>
      <c r="G8" s="6" t="str">
        <f>VLOOKUP(E8,'Retail Rates'!$B$7:$D$34,3,FALSE)</f>
        <v>AAGS-I</v>
      </c>
      <c r="H8" s="25">
        <f>SUMIF('Forcasted Customer Cts'!$D$5:$D$36,'Jul17-Jun18 Retail'!$E8,'Forcasted Customer Cts'!$P$5:$P$36)</f>
        <v>0</v>
      </c>
      <c r="I8" s="25"/>
      <c r="J8" s="25"/>
      <c r="K8" s="25">
        <f>SUMIF('Forecasted Calendar Month Usage'!$D$5:$D$41,'Jul17-Jun18 Retail'!$E8,'Forecasted Calendar Month Usage'!$X$5:$X$41)*10</f>
        <v>0</v>
      </c>
      <c r="L8" s="25"/>
      <c r="M8" s="25"/>
      <c r="N8" s="26">
        <f>VLOOKUP($E8,'Retail Rates'!$B$7:$L$34,5,FALSE)</f>
        <v>400</v>
      </c>
      <c r="O8" s="26">
        <f>VLOOKUP($E8,'Retail Rates'!$B$7:$L$34,6,FALSE)</f>
        <v>0</v>
      </c>
      <c r="P8" s="27">
        <f>VLOOKUP($E8,'Retail Rates'!$B$7:$L$34,7,FALSE)</f>
        <v>7.009E-2</v>
      </c>
      <c r="Q8" s="27">
        <f>VLOOKUP($E8,'Retail Rates'!$B$7:$L$34,8,FALSE)</f>
        <v>0</v>
      </c>
      <c r="R8" s="27"/>
      <c r="S8" s="26">
        <f>VLOOKUP($E8,'Retail Rates'!$B$7:$L$34,9,FALSE)</f>
        <v>0</v>
      </c>
      <c r="T8" s="27">
        <f>VLOOKUP($E8,'Retail Rates'!$B$7:$L$34,10,FALSE)</f>
        <v>0</v>
      </c>
      <c r="U8" s="26">
        <f>VLOOKUP($E8,'Retail Rates'!$B$7:$L$34,11,FALSE)</f>
        <v>0</v>
      </c>
      <c r="V8" s="309"/>
      <c r="W8" s="28">
        <f t="shared" ref="W8:W12" si="20">(+H8*N8)+(I8*N8)</f>
        <v>0</v>
      </c>
      <c r="X8" s="28"/>
      <c r="Y8" s="28"/>
      <c r="Z8" s="28">
        <f t="shared" si="5"/>
        <v>0</v>
      </c>
      <c r="AA8" s="28">
        <f t="shared" si="6"/>
        <v>0</v>
      </c>
      <c r="AB8" s="28">
        <f t="shared" si="7"/>
        <v>0</v>
      </c>
      <c r="AC8" s="28"/>
      <c r="AD8" s="28"/>
      <c r="AE8" s="28">
        <f t="shared" ref="AE8:AE12" si="21">M8*U8</f>
        <v>0</v>
      </c>
      <c r="AF8" s="28">
        <f t="shared" si="8"/>
        <v>0</v>
      </c>
      <c r="AG8" s="48">
        <f ca="1">SUMIFS(Adjustments!H$5:H$557,Adjustments!$B$5:$B$557,'Jul17-Jun18 Retail'!$D8,Adjustments!$C$5:$C$557,'Jul17-Jun18 Retail'!$E8)</f>
        <v>0</v>
      </c>
      <c r="AH8" s="48">
        <f ca="1">SUMIFS(Adjustments!I$5:I$557,Adjustments!$B$5:$B$557,'Jul17-Jun18 Retail'!$D8,Adjustments!$C$5:$C$557,'Jul17-Jun18 Retail'!$E8)</f>
        <v>0</v>
      </c>
      <c r="AI8" s="40">
        <f ca="1">SUMIFS(Adjustments!J$5:J$557,Adjustments!$B$5:$B$557,'Jul17-Jun18 Retail'!$D8,Adjustments!$C$5:$C$557,'Jul17-Jun18 Retail'!$E8)</f>
        <v>0</v>
      </c>
      <c r="AJ8" s="40">
        <f ca="1">SUMIFS(Adjustments!K$5:K$557,Adjustments!$B$5:$B$557,'Jul17-Jun18 Retail'!$D8,Adjustments!$C$5:$C$557,'Jul17-Jun18 Retail'!$E8)</f>
        <v>0</v>
      </c>
      <c r="AK8" s="40">
        <f ca="1">SUMIFS(Adjustments!L$5:L$557,Adjustments!$B$5:$B$557,'Jul17-Jun18 Retail'!$D8,Adjustments!$C$5:$C$557,'Jul17-Jun18 Retail'!$E8)</f>
        <v>0</v>
      </c>
      <c r="AL8" s="40">
        <f ca="1">SUMIFS(Adjustments!M$5:M$557,Adjustments!$B$5:$B$557,'Jul17-Jun18 Retail'!$D8,Adjustments!$C$5:$C$557,'Jul17-Jun18 Retail'!$E8)</f>
        <v>0</v>
      </c>
      <c r="AM8" s="40">
        <f ca="1">SUMIFS(Adjustments!N$5:N$557,Adjustments!$B$5:$B$557,'Jul17-Jun18 Retail'!$D8,Adjustments!$C$5:$C$557,'Jul17-Jun18 Retail'!$E8)</f>
        <v>0</v>
      </c>
      <c r="AN8" s="40">
        <f ca="1">SUMIFS(Adjustments!O$5:O$557,Adjustments!$B$5:$B$557,'Jul17-Jun18 Retail'!$D8,Adjustments!$C$5:$C$557,'Jul17-Jun18 Retail'!$E8)</f>
        <v>0</v>
      </c>
      <c r="AO8" s="40">
        <f ca="1">SUMIFS(Adjustments!P$5:P$557,Adjustments!$B$5:$B$557,'Jul17-Jun18 Retail'!$D8,Adjustments!$C$5:$C$557,'Jul17-Jun18 Retail'!$E8)</f>
        <v>0</v>
      </c>
      <c r="AP8" s="28">
        <f t="shared" ca="1" si="9"/>
        <v>0</v>
      </c>
      <c r="AQ8" s="28">
        <f t="shared" ca="1" si="10"/>
        <v>0</v>
      </c>
      <c r="AR8" s="28">
        <f t="shared" ref="AR8:AR12" ca="1" si="22">+Z8+AK8</f>
        <v>0</v>
      </c>
      <c r="AS8" s="28">
        <f t="shared" ca="1" si="11"/>
        <v>0</v>
      </c>
      <c r="AT8" s="35">
        <f t="shared" ref="AT8:AT12" si="23">BD8</f>
        <v>0</v>
      </c>
      <c r="AU8" s="35">
        <f t="shared" ref="AU8:AU12" si="24">BC8</f>
        <v>0</v>
      </c>
      <c r="AV8" s="35"/>
      <c r="AW8" s="35">
        <f t="shared" ref="AW8:AW12" si="25">BJ8</f>
        <v>0</v>
      </c>
      <c r="AX8" s="28">
        <f t="shared" ca="1" si="12"/>
        <v>0</v>
      </c>
      <c r="AY8" s="28"/>
      <c r="AZ8" s="35">
        <f t="shared" ca="1" si="13"/>
        <v>0</v>
      </c>
      <c r="BA8" s="35">
        <f t="shared" ref="BA8:BA12" si="26">SUM(BC8:BJ8)-BF8</f>
        <v>0</v>
      </c>
      <c r="BB8" s="36">
        <f t="shared" ref="BB8:BB12" si="27">IF(BA8=0,0,ROUND(BA8/AZ8,6))</f>
        <v>0</v>
      </c>
      <c r="BC8" s="35">
        <f>SUMIFS('Fin Forecast'!$K$3:$K$600,'Fin Forecast'!$B$3:$B$600,'Jul17-Jun18 Retail'!$E8,'Fin Forecast'!$C$3:$C$600,'Jul17-Jun18 Retail'!$BC$5)*1000</f>
        <v>0</v>
      </c>
      <c r="BD8" s="35">
        <f>SUMIFS('Fin Forecast'!$K$3:$K$600,'Fin Forecast'!$B$3:$B$600,'Jul17-Jun18 Retail'!$E8,'Fin Forecast'!$C$3:$C$600,'Jul17-Jun18 Retail'!$BD$5)*1000</f>
        <v>0</v>
      </c>
      <c r="BE8" s="35"/>
      <c r="BF8" s="35"/>
      <c r="BG8" s="35">
        <f>SUMIFS('Fin Forecast'!$K$3:$K$600,'Fin Forecast'!$B$3:$B$600,'Jul17-Jun18 Retail'!$E8,'Fin Forecast'!$C$3:$C$600,'Jul17-Jun18 Retail'!$BG$5)*1000</f>
        <v>0</v>
      </c>
      <c r="BH8" s="35">
        <f>SUMIFS('Fin Forecast'!$K$3:$K$600,'Fin Forecast'!$B$3:$B$600,'Jul17-Jun18 Retail'!$E8,'Fin Forecast'!$C$3:$C$600,'Jul17-Jun18 Retail'!$BH$5)*1000</f>
        <v>0</v>
      </c>
      <c r="BI8" s="35">
        <f>SUMIFS('Fin Forecast'!$K$3:$K$600,'Fin Forecast'!$B$3:$B$600,'Jul17-Jun18 Retail'!$E8,'Fin Forecast'!$C$3:$C$600,'Jul17-Jun18 Retail'!$BI$5)*1000</f>
        <v>0</v>
      </c>
      <c r="BJ8" s="35">
        <f>SUMIFS('Fin Forecast'!$K$3:$K$600,'Fin Forecast'!$B$3:$B$600,'Jul17-Jun18 Retail'!$E8,'Fin Forecast'!$C$3:$C$600,'Jul17-Jun18 Retail'!$BJ$5)*1000</f>
        <v>0</v>
      </c>
      <c r="BL8" s="44">
        <f t="shared" ca="1" si="15"/>
        <v>0</v>
      </c>
      <c r="BN8" s="49">
        <f t="shared" ca="1" si="16"/>
        <v>0</v>
      </c>
      <c r="BO8" s="49">
        <f t="shared" ca="1" si="17"/>
        <v>0</v>
      </c>
      <c r="BP8" s="49">
        <f t="shared" si="18"/>
        <v>0</v>
      </c>
      <c r="BQ8" s="418"/>
    </row>
    <row r="9" spans="1:69" ht="15" x14ac:dyDescent="0.25">
      <c r="A9" s="304" t="s">
        <v>443</v>
      </c>
      <c r="B9" s="304" t="s">
        <v>444</v>
      </c>
      <c r="C9" s="6">
        <f t="shared" ref="C9:C12" si="28">C8+1</f>
        <v>3</v>
      </c>
      <c r="D9" s="361">
        <f t="shared" ref="D9:D12" si="29">$D$7</f>
        <v>42917</v>
      </c>
      <c r="E9" s="361" t="str">
        <f>+'Retail Rates'!$B$15</f>
        <v>LGCMG851</v>
      </c>
      <c r="F9" s="6" t="str">
        <f t="shared" si="19"/>
        <v>851</v>
      </c>
      <c r="G9" s="6" t="str">
        <f>VLOOKUP(E9,'Retail Rates'!$B$7:$D$34,3,FALSE)</f>
        <v>CGS</v>
      </c>
      <c r="H9" s="25"/>
      <c r="I9" s="25">
        <f>SUMIFS('Forcasted Customer Cts'!$P$5:$P$36,'Forcasted Customer Cts'!$D$5:$D$36,'Jul17-Jun18 Retail'!$E9,'Forcasted Customer Cts'!$C$5:$C$36,'Jul17-Jun18 Retail'!$A$9)</f>
        <v>23679</v>
      </c>
      <c r="J9" s="25">
        <f>SUMIFS('Forcasted Customer Cts'!$P$5:$P$36,'Forcasted Customer Cts'!$D$5:$D$36,'Jul17-Jun18 Retail'!$E9,'Forcasted Customer Cts'!$C$5:$C$36,'Jul17-Jun18 Retail'!$B$9)</f>
        <v>986</v>
      </c>
      <c r="K9" s="25">
        <f>SUMIFS('Forecasted Calendar Month Usage'!X5:X41,'Forecasted Calendar Month Usage'!D5:D41,'Jul17-Jun18 Retail'!E9,'Forecasted Calendar Month Usage'!C5:C41,'Jul17-Jun18 Retail'!A11)*10</f>
        <v>2661775.883628435</v>
      </c>
      <c r="L9" s="25">
        <f>SUMIFS('Forecasted Calendar Month Usage'!X5:X41,'Forecasted Calendar Month Usage'!D5:D41,'Jul17-Jun18 Retail'!E9,'Forecasted Calendar Month Usage'!C5:C41,'Jul17-Jun18 Retail'!B11)*10</f>
        <v>82302.454174582264</v>
      </c>
      <c r="M9" s="25"/>
      <c r="N9" s="26">
        <f>VLOOKUP($E9,'Retail Rates'!$B$7:$L$34,5,FALSE)</f>
        <v>40</v>
      </c>
      <c r="O9" s="26">
        <f>VLOOKUP($E9,'Retail Rates'!$B$7:$L$34,6,FALSE)</f>
        <v>180</v>
      </c>
      <c r="P9" s="27">
        <f>VLOOKUP($E9,'Retail Rates'!$B$7:$L$34,7,FALSE)</f>
        <v>0.21504000000000001</v>
      </c>
      <c r="Q9" s="27">
        <f>VLOOKUP($E9,'Retail Rates'!$B$7:$L$34,8,FALSE)</f>
        <v>0.16504000000000002</v>
      </c>
      <c r="R9" s="27"/>
      <c r="S9" s="26">
        <f>VLOOKUP($E9,'Retail Rates'!$B$7:$L$34,9,FALSE)</f>
        <v>0</v>
      </c>
      <c r="T9" s="27">
        <f>VLOOKUP($E9,'Retail Rates'!$B$7:$L$34,10,FALSE)</f>
        <v>0</v>
      </c>
      <c r="U9" s="26">
        <f>VLOOKUP($E9,'Retail Rates'!$B$7:$L$34,11,FALSE)</f>
        <v>0</v>
      </c>
      <c r="V9" s="309"/>
      <c r="W9" s="28">
        <f>(+H9*N9)+(I9*N9)</f>
        <v>947160</v>
      </c>
      <c r="X9" s="28"/>
      <c r="Y9" s="28">
        <f>+J9*O9</f>
        <v>177480</v>
      </c>
      <c r="Z9" s="28">
        <f t="shared" si="5"/>
        <v>572388.28601545864</v>
      </c>
      <c r="AA9" s="28">
        <f t="shared" si="6"/>
        <v>13583.197036973059</v>
      </c>
      <c r="AB9" s="28">
        <f t="shared" si="7"/>
        <v>0</v>
      </c>
      <c r="AC9" s="28"/>
      <c r="AD9" s="28"/>
      <c r="AE9" s="28">
        <f t="shared" si="21"/>
        <v>0</v>
      </c>
      <c r="AF9" s="28">
        <f t="shared" si="8"/>
        <v>0</v>
      </c>
      <c r="AG9" s="48">
        <f ca="1">SUMIFS(Adjustments!H$5:H$557,Adjustments!$B$5:$B$557,'Jul17-Jun18 Retail'!$D9,Adjustments!$C$5:$C$557,'Jul17-Jun18 Retail'!$E9)</f>
        <v>0</v>
      </c>
      <c r="AH9" s="48">
        <f ca="1">SUMIFS(Adjustments!I$5:I$557,Adjustments!$B$5:$B$557,'Jul17-Jun18 Retail'!$D9,Adjustments!$C$5:$C$557,'Jul17-Jun18 Retail'!$E9)</f>
        <v>0</v>
      </c>
      <c r="AI9" s="40">
        <f ca="1">SUMIFS(Adjustments!J$5:J$557,Adjustments!$B$5:$B$557,'Jul17-Jun18 Retail'!$D9,Adjustments!$C$5:$C$557,'Jul17-Jun18 Retail'!$E9)</f>
        <v>0</v>
      </c>
      <c r="AJ9" s="40">
        <f ca="1">SUMIFS(Adjustments!K$5:K$557,Adjustments!$B$5:$B$557,'Jul17-Jun18 Retail'!$D9,Adjustments!$C$5:$C$557,'Jul17-Jun18 Retail'!$E9)</f>
        <v>0</v>
      </c>
      <c r="AK9" s="40">
        <f ca="1">SUMIFS(Adjustments!L$5:L$557,Adjustments!$B$5:$B$557,'Jul17-Jun18 Retail'!$D9,Adjustments!$C$5:$C$557,'Jul17-Jun18 Retail'!$E9)</f>
        <v>0</v>
      </c>
      <c r="AL9" s="40">
        <f ca="1">SUMIFS(Adjustments!M$5:M$557,Adjustments!$B$5:$B$557,'Jul17-Jun18 Retail'!$D9,Adjustments!$C$5:$C$557,'Jul17-Jun18 Retail'!$E9)</f>
        <v>0</v>
      </c>
      <c r="AM9" s="40">
        <f ca="1">SUMIFS(Adjustments!N$5:N$557,Adjustments!$B$5:$B$557,'Jul17-Jun18 Retail'!$D9,Adjustments!$C$5:$C$557,'Jul17-Jun18 Retail'!$E9)</f>
        <v>0</v>
      </c>
      <c r="AN9" s="40">
        <f ca="1">SUMIFS(Adjustments!O$5:O$557,Adjustments!$B$5:$B$557,'Jul17-Jun18 Retail'!$D9,Adjustments!$C$5:$C$557,'Jul17-Jun18 Retail'!$E9)</f>
        <v>0</v>
      </c>
      <c r="AO9" s="40">
        <f ca="1">SUMIFS(Adjustments!P$5:P$557,Adjustments!$B$5:$B$557,'Jul17-Jun18 Retail'!$D9,Adjustments!$C$5:$C$557,'Jul17-Jun18 Retail'!$E9)</f>
        <v>0</v>
      </c>
      <c r="AP9" s="28">
        <f t="shared" ca="1" si="9"/>
        <v>947160</v>
      </c>
      <c r="AQ9" s="28">
        <f t="shared" ca="1" si="10"/>
        <v>177480</v>
      </c>
      <c r="AR9" s="28">
        <f t="shared" ca="1" si="22"/>
        <v>572388.28601545864</v>
      </c>
      <c r="AS9" s="28">
        <f t="shared" ca="1" si="11"/>
        <v>13583.197036973059</v>
      </c>
      <c r="AT9" s="35">
        <f t="shared" si="23"/>
        <v>998043.95010085602</v>
      </c>
      <c r="AU9" s="35">
        <f t="shared" si="24"/>
        <v>67752.70058637156</v>
      </c>
      <c r="AV9" s="35"/>
      <c r="AW9" s="35">
        <f t="shared" si="25"/>
        <v>766479.63474014553</v>
      </c>
      <c r="AX9" s="28">
        <f t="shared" ca="1" si="12"/>
        <v>0</v>
      </c>
      <c r="AY9" s="28"/>
      <c r="AZ9" s="35">
        <f t="shared" ca="1" si="13"/>
        <v>3542887.77</v>
      </c>
      <c r="BA9" s="35">
        <f t="shared" si="26"/>
        <v>3542887.7683977336</v>
      </c>
      <c r="BB9" s="36">
        <f t="shared" ca="1" si="27"/>
        <v>1</v>
      </c>
      <c r="BC9" s="35">
        <f>SUMIFS('Fin Forecast'!$K$3:$K$600,'Fin Forecast'!$B$3:$B$600,'Jul17-Jun18 Retail'!$E9,'Fin Forecast'!$C$3:$C$600,'Jul17-Jun18 Retail'!$BC$5)*1000</f>
        <v>67752.70058637156</v>
      </c>
      <c r="BD9" s="35">
        <f>SUMIFS('Fin Forecast'!$K$3:$K$600,'Fin Forecast'!$B$3:$B$600,'Jul17-Jun18 Retail'!$E9,'Fin Forecast'!$C$3:$C$600,'Jul17-Jun18 Retail'!$BD$5)*1000</f>
        <v>998043.95010085602</v>
      </c>
      <c r="BE9" s="35"/>
      <c r="BF9" s="35"/>
      <c r="BG9" s="35">
        <f>SUMIFS('Fin Forecast'!$K$3:$K$600,'Fin Forecast'!$B$3:$B$600,'Jul17-Jun18 Retail'!$E9,'Fin Forecast'!$C$3:$C$600,'Jul17-Jun18 Retail'!$BG$5)*1000</f>
        <v>1124640</v>
      </c>
      <c r="BH9" s="35">
        <f>SUMIFS('Fin Forecast'!$K$3:$K$600,'Fin Forecast'!$B$3:$B$600,'Jul17-Jun18 Retail'!$E9,'Fin Forecast'!$C$3:$C$600,'Jul17-Jun18 Retail'!$BH$5)*1000</f>
        <v>585971.48297036078</v>
      </c>
      <c r="BI9" s="35">
        <f>SUMIFS('Fin Forecast'!$K$3:$K$600,'Fin Forecast'!$B$3:$B$600,'Jul17-Jun18 Retail'!$E9,'Fin Forecast'!$C$3:$C$600,'Jul17-Jun18 Retail'!$BI$5)*1000</f>
        <v>0</v>
      </c>
      <c r="BJ9" s="35">
        <f>SUMIFS('Fin Forecast'!$K$3:$K$600,'Fin Forecast'!$B$3:$B$600,'Jul17-Jun18 Retail'!$E9,'Fin Forecast'!$C$3:$C$600,'Jul17-Jun18 Retail'!$BJ$5)*1000</f>
        <v>766479.63474014553</v>
      </c>
      <c r="BL9" s="44">
        <f t="shared" ca="1" si="15"/>
        <v>1.6022664494812489E-3</v>
      </c>
      <c r="BN9" s="49">
        <f t="shared" ca="1" si="16"/>
        <v>0</v>
      </c>
      <c r="BO9" s="49">
        <f t="shared" ca="1" si="17"/>
        <v>8.2070939242839813E-5</v>
      </c>
      <c r="BP9" s="49">
        <f t="shared" si="18"/>
        <v>0</v>
      </c>
      <c r="BQ9" s="418"/>
    </row>
    <row r="10" spans="1:69" ht="15" customHeight="1" x14ac:dyDescent="0.25">
      <c r="A10" s="304"/>
      <c r="B10" s="304"/>
      <c r="C10" s="6">
        <f>C9+1</f>
        <v>4</v>
      </c>
      <c r="D10" s="361">
        <f t="shared" si="29"/>
        <v>42917</v>
      </c>
      <c r="E10" s="361" t="str">
        <f>+'Retail Rates'!$B$20</f>
        <v>LGCMG875</v>
      </c>
      <c r="F10" s="6" t="str">
        <f t="shared" si="19"/>
        <v>875</v>
      </c>
      <c r="G10" s="6" t="str">
        <f>VLOOKUP(E10,'Retail Rates'!$B$7:$D$34,3,FALSE)</f>
        <v>DGGS-C</v>
      </c>
      <c r="H10" s="25">
        <v>1</v>
      </c>
      <c r="I10" s="25"/>
      <c r="J10" s="25"/>
      <c r="K10" s="25">
        <v>6</v>
      </c>
      <c r="L10" s="25"/>
      <c r="M10" s="25">
        <v>483</v>
      </c>
      <c r="N10" s="26">
        <f>VLOOKUP($E10,'Retail Rates'!$B$7:$L$34,5,FALSE)</f>
        <v>40</v>
      </c>
      <c r="O10" s="26">
        <f>VLOOKUP($E10,'Retail Rates'!$B$7:$L$34,6,FALSE)</f>
        <v>180</v>
      </c>
      <c r="P10" s="27">
        <f>VLOOKUP($E10,'Retail Rates'!$B$7:$L$34,7,FALSE)</f>
        <v>3.329E-2</v>
      </c>
      <c r="Q10" s="27">
        <f>VLOOKUP($E10,'Retail Rates'!$B$7:$L$34,8,FALSE)</f>
        <v>0</v>
      </c>
      <c r="R10" s="27"/>
      <c r="S10" s="26">
        <f>VLOOKUP($E10,'Retail Rates'!$B$7:$L$34,9,FALSE)</f>
        <v>0</v>
      </c>
      <c r="T10" s="27">
        <f>VLOOKUP($E10,'Retail Rates'!$B$7:$L$34,10,FALSE)</f>
        <v>0</v>
      </c>
      <c r="U10" s="403">
        <f>VLOOKUP($E10,'Retail Rates'!$B$7:$L$34,11,FALSE)</f>
        <v>1.1263000000000001</v>
      </c>
      <c r="V10" s="309"/>
      <c r="W10" s="28">
        <f t="shared" si="20"/>
        <v>40</v>
      </c>
      <c r="X10" s="28"/>
      <c r="Y10" s="28"/>
      <c r="Z10" s="28">
        <f t="shared" si="5"/>
        <v>0.19974</v>
      </c>
      <c r="AA10" s="28">
        <f t="shared" si="6"/>
        <v>0</v>
      </c>
      <c r="AB10" s="28">
        <f t="shared" si="7"/>
        <v>0</v>
      </c>
      <c r="AC10" s="28"/>
      <c r="AD10" s="28"/>
      <c r="AE10" s="28">
        <f t="shared" si="21"/>
        <v>544.00290000000007</v>
      </c>
      <c r="AF10" s="28">
        <f t="shared" si="8"/>
        <v>0</v>
      </c>
      <c r="AG10" s="48">
        <f ca="1">SUMIFS(Adjustments!H$5:H$557,Adjustments!$B$5:$B$557,'Jul17-Jun18 Retail'!$D10,Adjustments!$C$5:$C$557,'Jul17-Jun18 Retail'!$E10)</f>
        <v>0</v>
      </c>
      <c r="AH10" s="48">
        <f ca="1">SUMIFS(Adjustments!I$5:I$557,Adjustments!$B$5:$B$557,'Jul17-Jun18 Retail'!$D10,Adjustments!$C$5:$C$557,'Jul17-Jun18 Retail'!$E10)</f>
        <v>0</v>
      </c>
      <c r="AI10" s="40">
        <f ca="1">SUMIFS(Adjustments!J$5:J$557,Adjustments!$B$5:$B$557,'Jul17-Jun18 Retail'!$D10,Adjustments!$C$5:$C$557,'Jul17-Jun18 Retail'!$E10)</f>
        <v>0</v>
      </c>
      <c r="AJ10" s="40">
        <f ca="1">SUMIFS(Adjustments!K$5:K$557,Adjustments!$B$5:$B$557,'Jul17-Jun18 Retail'!$D10,Adjustments!$C$5:$C$557,'Jul17-Jun18 Retail'!$E10)</f>
        <v>0</v>
      </c>
      <c r="AK10" s="40">
        <f ca="1">SUMIFS(Adjustments!L$5:L$557,Adjustments!$B$5:$B$557,'Jul17-Jun18 Retail'!$D10,Adjustments!$C$5:$C$557,'Jul17-Jun18 Retail'!$E10)</f>
        <v>0</v>
      </c>
      <c r="AL10" s="40">
        <f ca="1">SUMIFS(Adjustments!M$5:M$557,Adjustments!$B$5:$B$557,'Jul17-Jun18 Retail'!$D10,Adjustments!$C$5:$C$557,'Jul17-Jun18 Retail'!$E10)</f>
        <v>0</v>
      </c>
      <c r="AM10" s="40">
        <f ca="1">SUMIFS(Adjustments!N$5:N$557,Adjustments!$B$5:$B$557,'Jul17-Jun18 Retail'!$D10,Adjustments!$C$5:$C$557,'Jul17-Jun18 Retail'!$E10)</f>
        <v>0</v>
      </c>
      <c r="AN10" s="40">
        <f ca="1">SUMIFS(Adjustments!O$5:O$557,Adjustments!$B$5:$B$557,'Jul17-Jun18 Retail'!$D10,Adjustments!$C$5:$C$557,'Jul17-Jun18 Retail'!$E10)</f>
        <v>0</v>
      </c>
      <c r="AO10" s="40">
        <f ca="1">SUMIFS(Adjustments!P$5:P$557,Adjustments!$B$5:$B$557,'Jul17-Jun18 Retail'!$D10,Adjustments!$C$5:$C$557,'Jul17-Jun18 Retail'!$E10)</f>
        <v>0</v>
      </c>
      <c r="AP10" s="28">
        <f t="shared" ca="1" si="9"/>
        <v>40</v>
      </c>
      <c r="AQ10" s="28">
        <f t="shared" ca="1" si="10"/>
        <v>0</v>
      </c>
      <c r="AR10" s="28">
        <f t="shared" ca="1" si="22"/>
        <v>0.19974</v>
      </c>
      <c r="AS10" s="28">
        <f t="shared" ca="1" si="11"/>
        <v>0</v>
      </c>
      <c r="AT10" s="35">
        <f t="shared" si="23"/>
        <v>2.1822495440252898</v>
      </c>
      <c r="AU10" s="35">
        <f t="shared" si="24"/>
        <v>0.148143075208412</v>
      </c>
      <c r="AV10" s="35"/>
      <c r="AW10" s="35">
        <f t="shared" si="25"/>
        <v>0</v>
      </c>
      <c r="AX10" s="28">
        <f ca="1">+AE10+AO10</f>
        <v>544.00290000000007</v>
      </c>
      <c r="AY10" s="28"/>
      <c r="AZ10" s="35">
        <f t="shared" ca="1" si="13"/>
        <v>586.53</v>
      </c>
      <c r="BA10" s="35">
        <f t="shared" si="26"/>
        <v>586.53303261923361</v>
      </c>
      <c r="BB10" s="36">
        <f t="shared" ca="1" si="27"/>
        <v>1.000005</v>
      </c>
      <c r="BC10" s="35">
        <f>SUMIFS('Fin Forecast'!$K$3:$K$600,'Fin Forecast'!$B$3:$B$600,'Jul17-Jun18 Retail'!$E10,'Fin Forecast'!$C$3:$C$600,'Jul17-Jun18 Retail'!$BC$5)*1000</f>
        <v>0.148143075208412</v>
      </c>
      <c r="BD10" s="35">
        <f>SUMIFS('Fin Forecast'!$K$3:$K$600,'Fin Forecast'!$B$3:$B$600,'Jul17-Jun18 Retail'!$E10,'Fin Forecast'!$C$3:$C$600,'Jul17-Jun18 Retail'!$BD$5)*1000</f>
        <v>2.1822495440252898</v>
      </c>
      <c r="BE10" s="35"/>
      <c r="BF10" s="35"/>
      <c r="BG10" s="35">
        <f>SUMIFS('Fin Forecast'!$K$3:$K$600,'Fin Forecast'!$B$3:$B$600,'Jul17-Jun18 Retail'!$E10,'Fin Forecast'!$C$3:$C$600,'Jul17-Jun18 Retail'!$BG$5)*1000</f>
        <v>40</v>
      </c>
      <c r="BH10" s="35">
        <f>SUMIFS('Fin Forecast'!$K$3:$K$600,'Fin Forecast'!$B$3:$B$600,'Jul17-Jun18 Retail'!$E10,'Fin Forecast'!$C$3:$C$600,'Jul17-Jun18 Retail'!$BH$5)*1000</f>
        <v>0.199739999999999</v>
      </c>
      <c r="BI10" s="35">
        <f>SUMIFS('Fin Forecast'!$K$3:$K$600,'Fin Forecast'!$B$3:$B$600,'Jul17-Jun18 Retail'!$E10,'Fin Forecast'!$C$3:$C$600,'Jul17-Jun18 Retail'!$BI$5)*1000</f>
        <v>544.00289999999995</v>
      </c>
      <c r="BJ10" s="35">
        <f>SUMIFS('Fin Forecast'!$K$3:$K$600,'Fin Forecast'!$B$3:$B$600,'Jul17-Jun18 Retail'!$E10,'Fin Forecast'!$C$3:$C$600,'Jul17-Jun18 Retail'!$BJ$5)*1000</f>
        <v>0</v>
      </c>
      <c r="BL10" s="44">
        <f t="shared" ca="1" si="15"/>
        <v>-3.0326192336360691E-3</v>
      </c>
      <c r="BN10" s="49">
        <f t="shared" ca="1" si="16"/>
        <v>0</v>
      </c>
      <c r="BO10" s="49">
        <f t="shared" ca="1" si="17"/>
        <v>9.9920072216264089E-16</v>
      </c>
      <c r="BP10" s="49">
        <f t="shared" si="18"/>
        <v>0</v>
      </c>
    </row>
    <row r="11" spans="1:69" ht="15" customHeight="1" x14ac:dyDescent="0.25">
      <c r="A11" s="13" t="s">
        <v>445</v>
      </c>
      <c r="B11" s="13" t="s">
        <v>446</v>
      </c>
      <c r="C11" s="6">
        <f t="shared" si="28"/>
        <v>5</v>
      </c>
      <c r="D11" s="361">
        <f t="shared" si="29"/>
        <v>42917</v>
      </c>
      <c r="E11" s="361" t="str">
        <f>+'Retail Rates'!$B$26</f>
        <v>LGING855</v>
      </c>
      <c r="F11" s="6" t="str">
        <f t="shared" si="19"/>
        <v>855</v>
      </c>
      <c r="G11" s="6" t="s">
        <v>111</v>
      </c>
      <c r="H11" s="25"/>
      <c r="I11" s="25">
        <f>SUMIFS('Forcasted Customer Cts'!$P$5:$P$36,'Forcasted Customer Cts'!$D$5:$D$36,'Jul17-Jun18 Retail'!$E11,'Forcasted Customer Cts'!$C$5:$C$36,'Jul17-Jun18 Retail'!$A$9)</f>
        <v>145</v>
      </c>
      <c r="J11" s="25">
        <f>SUMIFS('Forcasted Customer Cts'!$P$5:$P$36,'Forcasted Customer Cts'!$D$5:$D$36,'Jul17-Jun18 Retail'!$E11,'Forcasted Customer Cts'!$C$5:$C$36,'Jul17-Jun18 Retail'!$B$9)</f>
        <v>113</v>
      </c>
      <c r="K11" s="25">
        <f>SUMIFS('Forecasted Calendar Month Usage'!$X$5:$X$41,'Forecasted Calendar Month Usage'!$D$5:$D$41,'Jul17-Jun18 Retail'!$E11,'Forecasted Calendar Month Usage'!$C$5:$C$41,'Jul17-Jun18 Retail'!$A$11)*10</f>
        <v>613360.70112483692</v>
      </c>
      <c r="L11" s="25">
        <f>SUMIFS('Forecasted Calendar Month Usage'!$X$5:$X$41,'Forecasted Calendar Month Usage'!$D$5:$D$41,'Jul17-Jun18 Retail'!$E11,'Forecasted Calendar Month Usage'!$C$5:$C$41,'Jul17-Jun18 Retail'!$B$11)*10</f>
        <v>189741.10361318255</v>
      </c>
      <c r="M11" s="25"/>
      <c r="N11" s="26">
        <f>VLOOKUP($E11,'Retail Rates'!$B$7:$L$34,5,FALSE)</f>
        <v>40</v>
      </c>
      <c r="O11" s="26">
        <f>VLOOKUP($E11,'Retail Rates'!$B$7:$L$34,6,FALSE)</f>
        <v>180</v>
      </c>
      <c r="P11" s="27">
        <f>VLOOKUP($E11,'Retail Rates'!$B$7:$L$34,7,FALSE)</f>
        <v>0.22778999999999999</v>
      </c>
      <c r="Q11" s="27">
        <f>VLOOKUP($E11,'Retail Rates'!$B$7:$L$34,8,FALSE)</f>
        <v>0.17779</v>
      </c>
      <c r="R11" s="27"/>
      <c r="S11" s="26">
        <f>VLOOKUP($E11,'Retail Rates'!$B$7:$L$34,9,FALSE)</f>
        <v>0</v>
      </c>
      <c r="T11" s="27">
        <f>VLOOKUP($E11,'Retail Rates'!$B$7:$L$34,10,FALSE)</f>
        <v>0</v>
      </c>
      <c r="U11" s="26">
        <f>VLOOKUP($E11,'Retail Rates'!$B$7:$L$34,11,FALSE)</f>
        <v>0</v>
      </c>
      <c r="V11" s="309"/>
      <c r="W11" s="28">
        <f t="shared" si="20"/>
        <v>5800</v>
      </c>
      <c r="X11" s="28"/>
      <c r="Y11" s="28">
        <f>+J11*O11</f>
        <v>20340</v>
      </c>
      <c r="Z11" s="28">
        <f>+K11*P11</f>
        <v>139717.4341092266</v>
      </c>
      <c r="AA11" s="28">
        <f>+L11*Q11</f>
        <v>33734.070811387726</v>
      </c>
      <c r="AB11" s="28">
        <f t="shared" si="7"/>
        <v>0</v>
      </c>
      <c r="AC11" s="28"/>
      <c r="AD11" s="28"/>
      <c r="AE11" s="28">
        <f t="shared" si="21"/>
        <v>0</v>
      </c>
      <c r="AF11" s="28">
        <f t="shared" si="8"/>
        <v>0</v>
      </c>
      <c r="AG11" s="48">
        <f ca="1">SUMIFS(Adjustments!H$5:H$557,Adjustments!$B$5:$B$557,'Jul17-Jun18 Retail'!$D11,Adjustments!$C$5:$C$557,'Jul17-Jun18 Retail'!$E11)</f>
        <v>0</v>
      </c>
      <c r="AH11" s="48">
        <f ca="1">SUMIFS(Adjustments!I$5:I$557,Adjustments!$B$5:$B$557,'Jul17-Jun18 Retail'!$D11,Adjustments!$C$5:$C$557,'Jul17-Jun18 Retail'!$E11)</f>
        <v>0</v>
      </c>
      <c r="AI11" s="40">
        <f ca="1">SUMIFS(Adjustments!J$5:J$557,Adjustments!$B$5:$B$557,'Jul17-Jun18 Retail'!$D11,Adjustments!$C$5:$C$557,'Jul17-Jun18 Retail'!$E11)</f>
        <v>0</v>
      </c>
      <c r="AJ11" s="40">
        <f ca="1">SUMIFS(Adjustments!K$5:K$557,Adjustments!$B$5:$B$557,'Jul17-Jun18 Retail'!$D11,Adjustments!$C$5:$C$557,'Jul17-Jun18 Retail'!$E11)</f>
        <v>0</v>
      </c>
      <c r="AK11" s="40">
        <f ca="1">SUMIFS(Adjustments!L$5:L$557,Adjustments!$B$5:$B$557,'Jul17-Jun18 Retail'!$D11,Adjustments!$C$5:$C$557,'Jul17-Jun18 Retail'!$E11)</f>
        <v>0</v>
      </c>
      <c r="AL11" s="40">
        <f ca="1">SUMIFS(Adjustments!M$5:M$557,Adjustments!$B$5:$B$557,'Jul17-Jun18 Retail'!$D11,Adjustments!$C$5:$C$557,'Jul17-Jun18 Retail'!$E11)</f>
        <v>0</v>
      </c>
      <c r="AM11" s="40">
        <f ca="1">SUMIFS(Adjustments!N$5:N$557,Adjustments!$B$5:$B$557,'Jul17-Jun18 Retail'!$D11,Adjustments!$C$5:$C$557,'Jul17-Jun18 Retail'!$E11)</f>
        <v>0</v>
      </c>
      <c r="AN11" s="40">
        <f ca="1">SUMIFS(Adjustments!O$5:O$557,Adjustments!$B$5:$B$557,'Jul17-Jun18 Retail'!$D11,Adjustments!$C$5:$C$557,'Jul17-Jun18 Retail'!$E11)</f>
        <v>0</v>
      </c>
      <c r="AO11" s="40">
        <f ca="1">SUMIFS(Adjustments!P$5:P$557,Adjustments!$B$5:$B$557,'Jul17-Jun18 Retail'!$D11,Adjustments!$C$5:$C$557,'Jul17-Jun18 Retail'!$E11)</f>
        <v>0</v>
      </c>
      <c r="AP11" s="28">
        <f t="shared" ca="1" si="9"/>
        <v>5800</v>
      </c>
      <c r="AQ11" s="28">
        <f t="shared" ca="1" si="10"/>
        <v>20340</v>
      </c>
      <c r="AR11" s="28">
        <f t="shared" ca="1" si="22"/>
        <v>139717.4341092266</v>
      </c>
      <c r="AS11" s="28">
        <f t="shared" ca="1" si="11"/>
        <v>33734.070811387726</v>
      </c>
      <c r="AT11" s="35">
        <f t="shared" si="23"/>
        <v>292094.75786298915</v>
      </c>
      <c r="AU11" s="35">
        <f t="shared" si="24"/>
        <v>0</v>
      </c>
      <c r="AV11" s="35"/>
      <c r="AW11" s="35">
        <f t="shared" si="25"/>
        <v>66206.923874216634</v>
      </c>
      <c r="AX11" s="28">
        <f ca="1">+AE11+AO11</f>
        <v>0</v>
      </c>
      <c r="AY11" s="28"/>
      <c r="AZ11" s="35">
        <f t="shared" ca="1" si="13"/>
        <v>557893.18999999994</v>
      </c>
      <c r="BA11" s="35">
        <f t="shared" si="26"/>
        <v>557893.18665815168</v>
      </c>
      <c r="BB11" s="36">
        <f t="shared" ca="1" si="27"/>
        <v>1</v>
      </c>
      <c r="BC11" s="35">
        <f>SUMIFS('Fin Forecast'!$K$3:$K$600,'Fin Forecast'!$B$3:$B$600,'Jul17-Jun18 Retail'!$E11,'Fin Forecast'!$C$3:$C$600,'Jul17-Jun18 Retail'!$BC$5)*1000</f>
        <v>0</v>
      </c>
      <c r="BD11" s="35">
        <f>SUMIFS('Fin Forecast'!$K$3:$K$600,'Fin Forecast'!$B$3:$B$600,'Jul17-Jun18 Retail'!$E11,'Fin Forecast'!$C$3:$C$600,'Jul17-Jun18 Retail'!$BD$5)*1000</f>
        <v>292094.75786298915</v>
      </c>
      <c r="BE11" s="35"/>
      <c r="BF11" s="35"/>
      <c r="BG11" s="35">
        <f>SUMIFS('Fin Forecast'!$K$3:$K$600,'Fin Forecast'!$B$3:$B$600,'Jul17-Jun18 Retail'!$E11,'Fin Forecast'!$C$3:$C$600,'Jul17-Jun18 Retail'!$BG$5)*1000</f>
        <v>26140</v>
      </c>
      <c r="BH11" s="35">
        <f>SUMIFS('Fin Forecast'!$K$3:$K$600,'Fin Forecast'!$B$3:$B$600,'Jul17-Jun18 Retail'!$E11,'Fin Forecast'!$C$3:$C$600,'Jul17-Jun18 Retail'!$BH$5)*1000</f>
        <v>173451.50492094588</v>
      </c>
      <c r="BI11" s="35">
        <f>SUMIFS('Fin Forecast'!$K$3:$K$600,'Fin Forecast'!$B$3:$B$600,'Jul17-Jun18 Retail'!$E11,'Fin Forecast'!$C$3:$C$600,'Jul17-Jun18 Retail'!$BI$5)*1000</f>
        <v>0</v>
      </c>
      <c r="BJ11" s="35">
        <f>SUMIFS('Fin Forecast'!$K$3:$K$600,'Fin Forecast'!$B$3:$B$600,'Jul17-Jun18 Retail'!$E11,'Fin Forecast'!$C$3:$C$600,'Jul17-Jun18 Retail'!$BJ$5)*1000</f>
        <v>66206.923874216634</v>
      </c>
      <c r="BL11" s="44">
        <f t="shared" ca="1" si="15"/>
        <v>3.3418482635170221E-3</v>
      </c>
      <c r="BN11" s="49">
        <f t="shared" ca="1" si="16"/>
        <v>0</v>
      </c>
      <c r="BO11" s="49">
        <f t="shared" ca="1" si="17"/>
        <v>-3.3155083656311035E-7</v>
      </c>
      <c r="BP11" s="49">
        <f t="shared" si="18"/>
        <v>0</v>
      </c>
    </row>
    <row r="12" spans="1:69" ht="15" customHeight="1" x14ac:dyDescent="0.25">
      <c r="C12" s="6">
        <f t="shared" si="28"/>
        <v>6</v>
      </c>
      <c r="D12" s="361">
        <f t="shared" si="29"/>
        <v>42917</v>
      </c>
      <c r="E12" s="361" t="str">
        <f>+'Retail Rates'!$B$31</f>
        <v>LGRSG811</v>
      </c>
      <c r="F12" s="6" t="str">
        <f t="shared" si="19"/>
        <v>811</v>
      </c>
      <c r="G12" s="6" t="str">
        <f>VLOOKUP(E12,'Retail Rates'!$B$7:$D$34,3,FALSE)</f>
        <v>RGS</v>
      </c>
      <c r="H12" s="25">
        <f>SUMIF('Forcasted Customer Cts'!$D$5:$D$36,'Jul17-Jun18 Retail'!$E12,'Forcasted Customer Cts'!$P$5:$P$36)</f>
        <v>295585</v>
      </c>
      <c r="I12" s="25"/>
      <c r="J12" s="25"/>
      <c r="K12" s="25">
        <f>SUMIF('Forecasted Calendar Month Usage'!$D$5:$D$41,'Jul17-Jun18 Retail'!$E12,'Forecasted Calendar Month Usage'!$X$5:$X$41)*10</f>
        <v>3313799.2126692669</v>
      </c>
      <c r="L12" s="25"/>
      <c r="M12" s="25"/>
      <c r="N12" s="26">
        <f>VLOOKUP($E12,'Retail Rates'!$B$7:$L$34,5,FALSE)</f>
        <v>13.5</v>
      </c>
      <c r="O12" s="26">
        <f>VLOOKUP($E12,'Retail Rates'!$B$7:$L$34,6,FALSE)</f>
        <v>0</v>
      </c>
      <c r="P12" s="27">
        <f>VLOOKUP($E12,'Retail Rates'!$B$7:$L$34,7,FALSE)</f>
        <v>0.28693000000000002</v>
      </c>
      <c r="Q12" s="27">
        <f>VLOOKUP($E12,'Retail Rates'!$B$7:$L$34,8,FALSE)</f>
        <v>0</v>
      </c>
      <c r="R12" s="27"/>
      <c r="S12" s="26">
        <f>VLOOKUP($E12,'Retail Rates'!$B$7:$L$34,9,FALSE)</f>
        <v>0</v>
      </c>
      <c r="T12" s="27">
        <f>VLOOKUP($E12,'Retail Rates'!$B$7:$L$34,10,FALSE)</f>
        <v>0</v>
      </c>
      <c r="U12" s="26">
        <f>VLOOKUP($E12,'Retail Rates'!$B$7:$L$34,11,FALSE)</f>
        <v>0</v>
      </c>
      <c r="V12" s="309"/>
      <c r="W12" s="28">
        <f t="shared" si="20"/>
        <v>3990397.5</v>
      </c>
      <c r="X12" s="28"/>
      <c r="Y12" s="28"/>
      <c r="Z12" s="28">
        <f t="shared" ref="Z12:AA12" si="30">+K12*P12</f>
        <v>950828.40809119283</v>
      </c>
      <c r="AA12" s="28">
        <f t="shared" si="30"/>
        <v>0</v>
      </c>
      <c r="AB12" s="28">
        <f t="shared" si="7"/>
        <v>0</v>
      </c>
      <c r="AC12" s="28"/>
      <c r="AD12" s="28"/>
      <c r="AE12" s="28">
        <f t="shared" si="21"/>
        <v>0</v>
      </c>
      <c r="AF12" s="28">
        <f t="shared" si="8"/>
        <v>0</v>
      </c>
      <c r="AG12" s="48">
        <f ca="1">SUMIFS(Adjustments!H$5:H$557,Adjustments!$B$5:$B$557,'Jul17-Jun18 Retail'!$D12,Adjustments!$C$5:$C$557,'Jul17-Jun18 Retail'!$E12)</f>
        <v>0</v>
      </c>
      <c r="AH12" s="48">
        <f ca="1">SUMIFS(Adjustments!I$5:I$557,Adjustments!$B$5:$B$557,'Jul17-Jun18 Retail'!$D12,Adjustments!$C$5:$C$557,'Jul17-Jun18 Retail'!$E12)</f>
        <v>0</v>
      </c>
      <c r="AI12" s="40">
        <f ca="1">SUMIFS(Adjustments!J$5:J$557,Adjustments!$B$5:$B$557,'Jul17-Jun18 Retail'!$D12,Adjustments!$C$5:$C$557,'Jul17-Jun18 Retail'!$E12)</f>
        <v>0</v>
      </c>
      <c r="AJ12" s="40">
        <f ca="1">SUMIFS(Adjustments!K$5:K$557,Adjustments!$B$5:$B$557,'Jul17-Jun18 Retail'!$D12,Adjustments!$C$5:$C$557,'Jul17-Jun18 Retail'!$E12)</f>
        <v>0</v>
      </c>
      <c r="AK12" s="40">
        <f ca="1">SUMIFS(Adjustments!L$5:L$557,Adjustments!$B$5:$B$557,'Jul17-Jun18 Retail'!$D12,Adjustments!$C$5:$C$557,'Jul17-Jun18 Retail'!$E12)</f>
        <v>0</v>
      </c>
      <c r="AL12" s="40">
        <f ca="1">SUMIFS(Adjustments!M$5:M$557,Adjustments!$B$5:$B$557,'Jul17-Jun18 Retail'!$D12,Adjustments!$C$5:$C$557,'Jul17-Jun18 Retail'!$E12)</f>
        <v>0</v>
      </c>
      <c r="AM12" s="40">
        <f ca="1">SUMIFS(Adjustments!N$5:N$557,Adjustments!$B$5:$B$557,'Jul17-Jun18 Retail'!$D12,Adjustments!$C$5:$C$557,'Jul17-Jun18 Retail'!$E12)</f>
        <v>0</v>
      </c>
      <c r="AN12" s="40">
        <f ca="1">SUMIFS(Adjustments!O$5:O$557,Adjustments!$B$5:$B$557,'Jul17-Jun18 Retail'!$D12,Adjustments!$C$5:$C$557,'Jul17-Jun18 Retail'!$E12)</f>
        <v>0</v>
      </c>
      <c r="AO12" s="40">
        <f ca="1">SUMIFS(Adjustments!P$5:P$557,Adjustments!$B$5:$B$557,'Jul17-Jun18 Retail'!$D12,Adjustments!$C$5:$C$557,'Jul17-Jun18 Retail'!$E12)</f>
        <v>0</v>
      </c>
      <c r="AP12" s="28">
        <f t="shared" ca="1" si="9"/>
        <v>3990397.5</v>
      </c>
      <c r="AQ12" s="28">
        <f t="shared" ca="1" si="10"/>
        <v>0</v>
      </c>
      <c r="AR12" s="28">
        <f t="shared" ca="1" si="22"/>
        <v>950828.40809119283</v>
      </c>
      <c r="AS12" s="28">
        <f t="shared" ca="1" si="11"/>
        <v>0</v>
      </c>
      <c r="AT12" s="35">
        <f t="shared" si="23"/>
        <v>1205256.13691346</v>
      </c>
      <c r="AU12" s="35">
        <f t="shared" si="24"/>
        <v>81819.401005268897</v>
      </c>
      <c r="AV12" s="35"/>
      <c r="AW12" s="35">
        <f t="shared" si="25"/>
        <v>1786883.3167548801</v>
      </c>
      <c r="AX12" s="28">
        <f ca="1">+AE12+AO12</f>
        <v>0</v>
      </c>
      <c r="AY12" s="28"/>
      <c r="AZ12" s="35">
        <f t="shared" ca="1" si="13"/>
        <v>8015184.7599999998</v>
      </c>
      <c r="BA12" s="35">
        <f t="shared" si="26"/>
        <v>8015184.7628491968</v>
      </c>
      <c r="BB12" s="36">
        <f t="shared" ca="1" si="27"/>
        <v>1</v>
      </c>
      <c r="BC12" s="35">
        <f>SUMIFS('Fin Forecast'!$K$3:$K$600,'Fin Forecast'!$B$3:$B$600,'Jul17-Jun18 Retail'!$E12,'Fin Forecast'!$C$3:$C$600,'Jul17-Jun18 Retail'!$BC$5)*1000</f>
        <v>81819.401005268897</v>
      </c>
      <c r="BD12" s="35">
        <f>SUMIFS('Fin Forecast'!$K$3:$K$600,'Fin Forecast'!$B$3:$B$600,'Jul17-Jun18 Retail'!$E12,'Fin Forecast'!$C$3:$C$600,'Jul17-Jun18 Retail'!$BD$5)*1000</f>
        <v>1205256.13691346</v>
      </c>
      <c r="BE12" s="35"/>
      <c r="BF12" s="35"/>
      <c r="BG12" s="35">
        <f>SUMIFS('Fin Forecast'!$K$3:$K$600,'Fin Forecast'!$B$3:$B$600,'Jul17-Jun18 Retail'!$E12,'Fin Forecast'!$C$3:$C$600,'Jul17-Jun18 Retail'!$BG$5)*1000</f>
        <v>3990397.5</v>
      </c>
      <c r="BH12" s="35">
        <f>SUMIFS('Fin Forecast'!$K$3:$K$600,'Fin Forecast'!$B$3:$B$600,'Jul17-Jun18 Retail'!$E12,'Fin Forecast'!$C$3:$C$600,'Jul17-Jun18 Retail'!$BH$5)*1000</f>
        <v>950828.408175588</v>
      </c>
      <c r="BI12" s="35">
        <f>SUMIFS('Fin Forecast'!$K$3:$K$600,'Fin Forecast'!$B$3:$B$600,'Jul17-Jun18 Retail'!$E12,'Fin Forecast'!$C$3:$C$600,'Jul17-Jun18 Retail'!$BI$5)*1000</f>
        <v>0</v>
      </c>
      <c r="BJ12" s="35">
        <f>SUMIFS('Fin Forecast'!$K$3:$K$600,'Fin Forecast'!$B$3:$B$600,'Jul17-Jun18 Retail'!$E12,'Fin Forecast'!$C$3:$C$600,'Jul17-Jun18 Retail'!$BJ$5)*1000</f>
        <v>1786883.3167548801</v>
      </c>
      <c r="BL12" s="44">
        <f ca="1">+AZ12-BA12</f>
        <v>-2.8491970151662827E-3</v>
      </c>
      <c r="BN12" s="49">
        <f t="shared" ca="1" si="16"/>
        <v>0</v>
      </c>
      <c r="BO12" s="49">
        <f t="shared" ca="1" si="17"/>
        <v>-8.4395171143114567E-5</v>
      </c>
      <c r="BP12" s="49">
        <f t="shared" si="18"/>
        <v>0</v>
      </c>
      <c r="BQ12" s="418"/>
    </row>
    <row r="13" spans="1:69" s="323" customFormat="1" ht="15" customHeight="1" x14ac:dyDescent="0.25">
      <c r="C13" s="324"/>
      <c r="D13" s="362"/>
      <c r="E13" s="362"/>
      <c r="F13" s="324"/>
      <c r="G13" s="324"/>
      <c r="H13" s="325"/>
      <c r="I13" s="325"/>
      <c r="J13" s="325"/>
      <c r="K13" s="325"/>
      <c r="L13" s="325"/>
      <c r="M13" s="325"/>
      <c r="N13" s="326"/>
      <c r="O13" s="326"/>
      <c r="P13" s="327"/>
      <c r="Q13" s="327"/>
      <c r="R13" s="327"/>
      <c r="S13" s="326"/>
      <c r="T13" s="327"/>
      <c r="U13" s="326"/>
      <c r="V13" s="328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30"/>
      <c r="AH13" s="330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31"/>
      <c r="BC13" s="329"/>
      <c r="BD13" s="329"/>
      <c r="BE13" s="329"/>
      <c r="BF13" s="329"/>
      <c r="BG13" s="329"/>
      <c r="BH13" s="329"/>
      <c r="BI13" s="329"/>
      <c r="BJ13" s="329"/>
      <c r="BL13" s="329"/>
      <c r="BN13" s="329"/>
      <c r="BO13" s="329"/>
      <c r="BP13" s="329"/>
    </row>
    <row r="14" spans="1:69" ht="15" customHeight="1" x14ac:dyDescent="0.25">
      <c r="C14" s="6">
        <f>C12+1</f>
        <v>7</v>
      </c>
      <c r="D14" s="361">
        <f>EDATE(D7,1)</f>
        <v>42948</v>
      </c>
      <c r="E14" s="361" t="str">
        <f>+'Retail Rates'!$B$7</f>
        <v>LGCMG865</v>
      </c>
      <c r="F14" s="6" t="str">
        <f>MID(E14,6,3)</f>
        <v>865</v>
      </c>
      <c r="G14" s="6" t="str">
        <f>VLOOKUP(E14,'Retail Rates'!$B$7:$D$34,3,FALSE)</f>
        <v>AAGS-C</v>
      </c>
      <c r="H14" s="25">
        <f>SUMIF('Forcasted Customer Cts'!$D$5:$D$36,'Jul17-Jun18 Retail'!$E14,'Forcasted Customer Cts'!$Q$5:$Q$36)</f>
        <v>4</v>
      </c>
      <c r="I14" s="25"/>
      <c r="J14" s="25"/>
      <c r="K14" s="25">
        <f>SUMIF('Forecasted Calendar Month Usage'!$D$5:$D$41,'Jul17-Jun18 Retail'!$E14,'Forecasted Calendar Month Usage'!$Y$5:$Y$41)*10</f>
        <v>109968.78568188769</v>
      </c>
      <c r="L14" s="25"/>
      <c r="M14" s="25"/>
      <c r="N14" s="26">
        <f>VLOOKUP($E14,'Retail Rates'!$B$7:$L$34,5,FALSE)</f>
        <v>400</v>
      </c>
      <c r="O14" s="26">
        <f>VLOOKUP($E14,'Retail Rates'!$B$7:$L$34,6,FALSE)</f>
        <v>0</v>
      </c>
      <c r="P14" s="27">
        <f>VLOOKUP($E14,'Retail Rates'!$B$7:$L$34,7,FALSE)</f>
        <v>7.009E-2</v>
      </c>
      <c r="Q14" s="27">
        <f>VLOOKUP($E14,'Retail Rates'!$B$7:$L$34,8,FALSE)</f>
        <v>0</v>
      </c>
      <c r="R14" s="27"/>
      <c r="S14" s="26">
        <f>VLOOKUP($E14,'Retail Rates'!$B$7:$L$34,9,FALSE)</f>
        <v>0</v>
      </c>
      <c r="T14" s="27">
        <f>VLOOKUP($E14,'Retail Rates'!$B$7:$L$34,10,FALSE)</f>
        <v>0</v>
      </c>
      <c r="U14" s="26">
        <f>VLOOKUP($E14,'Retail Rates'!$B$7:$L$34,11,FALSE)</f>
        <v>0</v>
      </c>
      <c r="V14" s="309"/>
      <c r="W14" s="28">
        <f t="shared" ref="W14:W19" si="31">(+H14*N14)+(I14*N14)</f>
        <v>1600</v>
      </c>
      <c r="X14" s="28"/>
      <c r="Y14" s="28"/>
      <c r="Z14" s="28">
        <f t="shared" ref="Z14:Z17" si="32">+K14*P14</f>
        <v>7707.7121884435082</v>
      </c>
      <c r="AA14" s="28">
        <f t="shared" ref="AA14:AA17" si="33">+L14*Q14</f>
        <v>0</v>
      </c>
      <c r="AB14" s="28">
        <f t="shared" ref="AB14:AB19" si="34">SUM(K14:L14)*R14</f>
        <v>0</v>
      </c>
      <c r="AC14" s="28"/>
      <c r="AD14" s="28"/>
      <c r="AE14" s="28">
        <f>M14*U14</f>
        <v>0</v>
      </c>
      <c r="AF14" s="28">
        <f t="shared" ref="AF14:AF19" si="35">(+H14*V14)+(I14*V14)</f>
        <v>0</v>
      </c>
      <c r="AG14" s="48">
        <f ca="1">SUMIFS(Adjustments!H$5:H$557,Adjustments!$B$5:$B$557,'Jul17-Jun18 Retail'!$D14,Adjustments!$C$5:$C$557,'Jul17-Jun18 Retail'!$E14)</f>
        <v>0</v>
      </c>
      <c r="AH14" s="48">
        <f ca="1">SUMIFS(Adjustments!I$5:I$557,Adjustments!$B$5:$B$557,'Jul17-Jun18 Retail'!$D14,Adjustments!$C$5:$C$557,'Jul17-Jun18 Retail'!$E14)</f>
        <v>0</v>
      </c>
      <c r="AI14" s="40">
        <f ca="1">SUMIFS(Adjustments!J$5:J$557,Adjustments!$B$5:$B$557,'Jul17-Jun18 Retail'!$D14,Adjustments!$C$5:$C$557,'Jul17-Jun18 Retail'!$E14)</f>
        <v>0</v>
      </c>
      <c r="AJ14" s="40">
        <f ca="1">SUMIFS(Adjustments!K$5:K$557,Adjustments!$B$5:$B$557,'Jul17-Jun18 Retail'!$D14,Adjustments!$C$5:$C$557,'Jul17-Jun18 Retail'!$E14)</f>
        <v>0</v>
      </c>
      <c r="AK14" s="40">
        <f ca="1">SUMIFS(Adjustments!L$5:L$557,Adjustments!$B$5:$B$557,'Jul17-Jun18 Retail'!$D14,Adjustments!$C$5:$C$557,'Jul17-Jun18 Retail'!$E14)</f>
        <v>0</v>
      </c>
      <c r="AL14" s="40">
        <f ca="1">SUMIFS(Adjustments!M$5:M$557,Adjustments!$B$5:$B$557,'Jul17-Jun18 Retail'!$D14,Adjustments!$C$5:$C$557,'Jul17-Jun18 Retail'!$E14)</f>
        <v>0</v>
      </c>
      <c r="AM14" s="40">
        <f ca="1">SUMIFS(Adjustments!N$5:N$557,Adjustments!$B$5:$B$557,'Jul17-Jun18 Retail'!$D14,Adjustments!$C$5:$C$557,'Jul17-Jun18 Retail'!$E14)</f>
        <v>0</v>
      </c>
      <c r="AN14" s="40">
        <f ca="1">SUMIFS(Adjustments!O$5:O$557,Adjustments!$B$5:$B$557,'Jul17-Jun18 Retail'!$D14,Adjustments!$C$5:$C$557,'Jul17-Jun18 Retail'!$E14)</f>
        <v>0</v>
      </c>
      <c r="AO14" s="40">
        <f ca="1">SUMIFS(Adjustments!P$5:P$557,Adjustments!$B$5:$B$557,'Jul17-Jun18 Retail'!$D14,Adjustments!$C$5:$C$557,'Jul17-Jun18 Retail'!$E14)</f>
        <v>0</v>
      </c>
      <c r="AP14" s="28">
        <f t="shared" ref="AP14:AP19" ca="1" si="36">+W14+AI14+(AG14*N14)</f>
        <v>1600</v>
      </c>
      <c r="AQ14" s="28">
        <f t="shared" ref="AQ14:AQ19" ca="1" si="37">+Y14+AJ14</f>
        <v>0</v>
      </c>
      <c r="AR14" s="28">
        <f t="shared" ref="AR14:AR19" ca="1" si="38">+Z14+AK14</f>
        <v>7707.7121884435082</v>
      </c>
      <c r="AS14" s="28">
        <f t="shared" ref="AS14:AS19" ca="1" si="39">+AA14+AL14</f>
        <v>0</v>
      </c>
      <c r="AT14" s="35">
        <f t="shared" ref="AT14:AT19" si="40">BD14</f>
        <v>35188.464695704934</v>
      </c>
      <c r="AU14" s="35">
        <f t="shared" ref="AU14:AU19" si="41">BC14</f>
        <v>1162.3286650088571</v>
      </c>
      <c r="AV14" s="35"/>
      <c r="AW14" s="35">
        <f t="shared" ref="AW14:AW19" si="42">BJ14</f>
        <v>17913.472980137358</v>
      </c>
      <c r="AX14" s="28">
        <f t="shared" ref="AX14:AX19" ca="1" si="43">+AE14+AO14</f>
        <v>0</v>
      </c>
      <c r="AY14" s="28"/>
      <c r="AZ14" s="35">
        <f t="shared" ref="AZ14:AZ19" ca="1" si="44">ROUND(SUM(AP14:AY14),2)</f>
        <v>63571.98</v>
      </c>
      <c r="BA14" s="35">
        <f>SUM(BC14:BJ14)-BF14</f>
        <v>63571.978529863249</v>
      </c>
      <c r="BB14" s="36">
        <f t="shared" ref="BB14:BB19" ca="1" si="45">IF(BA14=0,0,ROUND(BA14/AZ14,6))</f>
        <v>1</v>
      </c>
      <c r="BC14" s="35">
        <f>SUMIFS('Fin Forecast'!$L$3:$L$600,'Fin Forecast'!$B$3:$B$600,'Jul17-Jun18 Retail'!$E14,'Fin Forecast'!$C$3:$C$600,'Jul17-Jun18 Retail'!$BC$5)*1000</f>
        <v>1162.3286650088571</v>
      </c>
      <c r="BD14" s="35">
        <f>SUMIFS('Fin Forecast'!$L$3:$L$600,'Fin Forecast'!$B$3:$B$600,'Jul17-Jun18 Retail'!$E14,'Fin Forecast'!$C$3:$C$600,'Jul17-Jun18 Retail'!$BD$5)*1000</f>
        <v>35188.464695704934</v>
      </c>
      <c r="BE14" s="35"/>
      <c r="BF14" s="35"/>
      <c r="BG14" s="35">
        <f>SUMIFS('Fin Forecast'!$L$3:$L$600,'Fin Forecast'!$B$3:$B$600,'Jul17-Jun18 Retail'!$E14,'Fin Forecast'!$C$3:$C$600,'Jul17-Jun18 Retail'!$BG$5)*1000</f>
        <v>1600</v>
      </c>
      <c r="BH14" s="35">
        <f>SUMIFS('Fin Forecast'!$L$3:$L$600,'Fin Forecast'!$B$3:$B$600,'Jul17-Jun18 Retail'!$E14,'Fin Forecast'!$C$3:$C$600,'Jul17-Jun18 Retail'!$BH$5)*1000</f>
        <v>7707.7121890120998</v>
      </c>
      <c r="BI14" s="35">
        <f>SUMIFS('Fin Forecast'!$L$3:$L$600,'Fin Forecast'!$B$3:$B$600,'Jul17-Jun18 Retail'!$E14,'Fin Forecast'!$C$3:$C$600,'Jul17-Jun18 Retail'!$BI$5)*1000</f>
        <v>0</v>
      </c>
      <c r="BJ14" s="35">
        <f>SUMIFS('Fin Forecast'!$L$3:$L$600,'Fin Forecast'!$B$3:$B$600,'Jul17-Jun18 Retail'!$E14,'Fin Forecast'!$C$3:$C$600,'Jul17-Jun18 Retail'!$BJ$5)*1000</f>
        <v>17913.472980137358</v>
      </c>
      <c r="BL14" s="44">
        <f t="shared" ref="BL14:BL19" ca="1" si="46">+AZ14-BA14</f>
        <v>1.4701367545058019E-3</v>
      </c>
      <c r="BN14" s="49">
        <f t="shared" ref="BN14:BN19" ca="1" si="47">+AP14+AQ14-BG14</f>
        <v>0</v>
      </c>
      <c r="BO14" s="49">
        <f t="shared" ref="BO14:BO19" ca="1" si="48">+AR14+AS14-BH14</f>
        <v>-5.6859153119148687E-7</v>
      </c>
      <c r="BP14" s="49">
        <f t="shared" ref="BP14:BP19" si="49">+AT14-BD14</f>
        <v>0</v>
      </c>
    </row>
    <row r="15" spans="1:69" ht="15" customHeight="1" x14ac:dyDescent="0.25">
      <c r="C15" s="6">
        <f>C14+1</f>
        <v>8</v>
      </c>
      <c r="D15" s="361">
        <f>$D$14</f>
        <v>42948</v>
      </c>
      <c r="E15" s="361" t="str">
        <f>+'Retail Rates'!$B$10</f>
        <v>LGING866</v>
      </c>
      <c r="F15" s="6" t="str">
        <f t="shared" ref="F15:F19" si="50">MID(E15,6,3)</f>
        <v>866</v>
      </c>
      <c r="G15" s="6" t="str">
        <f>VLOOKUP(E15,'Retail Rates'!$B$7:$D$34,3,FALSE)</f>
        <v>AAGS-I</v>
      </c>
      <c r="H15" s="25">
        <f>SUMIF('Forcasted Customer Cts'!$D$5:$D$36,'Jul17-Jun18 Retail'!$E15,'Forcasted Customer Cts'!$Q$5:$Q$36)</f>
        <v>0</v>
      </c>
      <c r="I15" s="25"/>
      <c r="J15" s="25"/>
      <c r="K15" s="25">
        <f>SUMIF('Forecasted Calendar Month Usage'!$D$5:$D$41,'Jul17-Jun18 Retail'!$E15,'Forecasted Calendar Month Usage'!$Y$5:$Y$41)*10</f>
        <v>0</v>
      </c>
      <c r="L15" s="25"/>
      <c r="M15" s="25"/>
      <c r="N15" s="26">
        <f>VLOOKUP($E15,'Retail Rates'!$B$7:$L$34,5,FALSE)</f>
        <v>400</v>
      </c>
      <c r="O15" s="26">
        <f>VLOOKUP($E15,'Retail Rates'!$B$7:$L$34,6,FALSE)</f>
        <v>0</v>
      </c>
      <c r="P15" s="27">
        <f>VLOOKUP($E15,'Retail Rates'!$B$7:$L$34,7,FALSE)</f>
        <v>7.009E-2</v>
      </c>
      <c r="Q15" s="27">
        <f>VLOOKUP($E15,'Retail Rates'!$B$7:$L$34,8,FALSE)</f>
        <v>0</v>
      </c>
      <c r="R15" s="27"/>
      <c r="S15" s="26">
        <f>VLOOKUP($E15,'Retail Rates'!$B$7:$L$34,9,FALSE)</f>
        <v>0</v>
      </c>
      <c r="T15" s="27">
        <f>VLOOKUP($E15,'Retail Rates'!$B$7:$L$34,10,FALSE)</f>
        <v>0</v>
      </c>
      <c r="U15" s="26">
        <f>VLOOKUP($E15,'Retail Rates'!$B$7:$L$34,11,FALSE)</f>
        <v>0</v>
      </c>
      <c r="V15" s="309"/>
      <c r="W15" s="28">
        <f t="shared" si="31"/>
        <v>0</v>
      </c>
      <c r="X15" s="28"/>
      <c r="Y15" s="28"/>
      <c r="Z15" s="28">
        <f t="shared" si="32"/>
        <v>0</v>
      </c>
      <c r="AA15" s="28">
        <f t="shared" si="33"/>
        <v>0</v>
      </c>
      <c r="AB15" s="28">
        <f t="shared" si="34"/>
        <v>0</v>
      </c>
      <c r="AC15" s="28"/>
      <c r="AD15" s="28"/>
      <c r="AE15" s="28">
        <f t="shared" ref="AE15:AE19" si="51">M15*U15</f>
        <v>0</v>
      </c>
      <c r="AF15" s="28">
        <f t="shared" si="35"/>
        <v>0</v>
      </c>
      <c r="AG15" s="48">
        <f ca="1">SUMIFS(Adjustments!H$5:H$557,Adjustments!$B$5:$B$557,'Jul17-Jun18 Retail'!$D15,Adjustments!$C$5:$C$557,'Jul17-Jun18 Retail'!$E15)</f>
        <v>0</v>
      </c>
      <c r="AH15" s="48">
        <f ca="1">SUMIFS(Adjustments!I$5:I$557,Adjustments!$B$5:$B$557,'Jul17-Jun18 Retail'!$D15,Adjustments!$C$5:$C$557,'Jul17-Jun18 Retail'!$E15)</f>
        <v>0</v>
      </c>
      <c r="AI15" s="40">
        <f ca="1">SUMIFS(Adjustments!J$5:J$557,Adjustments!$B$5:$B$557,'Jul17-Jun18 Retail'!$D15,Adjustments!$C$5:$C$557,'Jul17-Jun18 Retail'!$E15)</f>
        <v>0</v>
      </c>
      <c r="AJ15" s="40">
        <f ca="1">SUMIFS(Adjustments!K$5:K$557,Adjustments!$B$5:$B$557,'Jul17-Jun18 Retail'!$D15,Adjustments!$C$5:$C$557,'Jul17-Jun18 Retail'!$E15)</f>
        <v>0</v>
      </c>
      <c r="AK15" s="40">
        <f ca="1">SUMIFS(Adjustments!L$5:L$557,Adjustments!$B$5:$B$557,'Jul17-Jun18 Retail'!$D15,Adjustments!$C$5:$C$557,'Jul17-Jun18 Retail'!$E15)</f>
        <v>0</v>
      </c>
      <c r="AL15" s="40">
        <f ca="1">SUMIFS(Adjustments!M$5:M$557,Adjustments!$B$5:$B$557,'Jul17-Jun18 Retail'!$D15,Adjustments!$C$5:$C$557,'Jul17-Jun18 Retail'!$E15)</f>
        <v>0</v>
      </c>
      <c r="AM15" s="40">
        <f ca="1">SUMIFS(Adjustments!N$5:N$557,Adjustments!$B$5:$B$557,'Jul17-Jun18 Retail'!$D15,Adjustments!$C$5:$C$557,'Jul17-Jun18 Retail'!$E15)</f>
        <v>0</v>
      </c>
      <c r="AN15" s="40">
        <f ca="1">SUMIFS(Adjustments!O$5:O$557,Adjustments!$B$5:$B$557,'Jul17-Jun18 Retail'!$D15,Adjustments!$C$5:$C$557,'Jul17-Jun18 Retail'!$E15)</f>
        <v>0</v>
      </c>
      <c r="AO15" s="40">
        <f ca="1">SUMIFS(Adjustments!P$5:P$557,Adjustments!$B$5:$B$557,'Jul17-Jun18 Retail'!$D15,Adjustments!$C$5:$C$557,'Jul17-Jun18 Retail'!$E15)</f>
        <v>0</v>
      </c>
      <c r="AP15" s="28">
        <f t="shared" ca="1" si="36"/>
        <v>0</v>
      </c>
      <c r="AQ15" s="28">
        <f t="shared" ca="1" si="37"/>
        <v>0</v>
      </c>
      <c r="AR15" s="28">
        <f t="shared" ca="1" si="38"/>
        <v>0</v>
      </c>
      <c r="AS15" s="28">
        <f t="shared" ca="1" si="39"/>
        <v>0</v>
      </c>
      <c r="AT15" s="35">
        <f t="shared" si="40"/>
        <v>0</v>
      </c>
      <c r="AU15" s="35">
        <f t="shared" si="41"/>
        <v>0</v>
      </c>
      <c r="AV15" s="35"/>
      <c r="AW15" s="35">
        <f t="shared" si="42"/>
        <v>0</v>
      </c>
      <c r="AX15" s="28">
        <f t="shared" ca="1" si="43"/>
        <v>0</v>
      </c>
      <c r="AY15" s="28"/>
      <c r="AZ15" s="35">
        <f t="shared" ca="1" si="44"/>
        <v>0</v>
      </c>
      <c r="BA15" s="35">
        <f t="shared" ref="BA15:BA19" si="52">SUM(BC15:BJ15)-BF15</f>
        <v>0</v>
      </c>
      <c r="BB15" s="36">
        <f t="shared" si="45"/>
        <v>0</v>
      </c>
      <c r="BC15" s="35">
        <f>SUMIFS('Fin Forecast'!$L$3:$L$600,'Fin Forecast'!$B$3:$B$600,'Jul17-Jun18 Retail'!$E15,'Fin Forecast'!$C$3:$C$600,'Jul17-Jun18 Retail'!$BC$5)*1000</f>
        <v>0</v>
      </c>
      <c r="BD15" s="35">
        <f>SUMIFS('Fin Forecast'!$L$3:$L$600,'Fin Forecast'!$B$3:$B$600,'Jul17-Jun18 Retail'!$E15,'Fin Forecast'!$C$3:$C$600,'Jul17-Jun18 Retail'!$BD$5)*1000</f>
        <v>0</v>
      </c>
      <c r="BE15" s="35"/>
      <c r="BF15" s="35"/>
      <c r="BG15" s="35">
        <f>SUMIFS('Fin Forecast'!$L$3:$L$600,'Fin Forecast'!$B$3:$B$600,'Jul17-Jun18 Retail'!$E15,'Fin Forecast'!$C$3:$C$600,'Jul17-Jun18 Retail'!$BG$5)*1000</f>
        <v>0</v>
      </c>
      <c r="BH15" s="35">
        <f>SUMIFS('Fin Forecast'!$L$3:$L$600,'Fin Forecast'!$B$3:$B$600,'Jul17-Jun18 Retail'!$E15,'Fin Forecast'!$C$3:$C$600,'Jul17-Jun18 Retail'!$BH$5)*1000</f>
        <v>0</v>
      </c>
      <c r="BI15" s="35">
        <f>SUMIFS('Fin Forecast'!$L$3:$L$600,'Fin Forecast'!$B$3:$B$600,'Jul17-Jun18 Retail'!$E15,'Fin Forecast'!$C$3:$C$600,'Jul17-Jun18 Retail'!$BI$5)*1000</f>
        <v>0</v>
      </c>
      <c r="BJ15" s="35">
        <f>SUMIFS('Fin Forecast'!$L$3:$L$600,'Fin Forecast'!$B$3:$B$600,'Jul17-Jun18 Retail'!$E15,'Fin Forecast'!$C$3:$C$600,'Jul17-Jun18 Retail'!$BJ$5)*1000</f>
        <v>0</v>
      </c>
      <c r="BL15" s="44">
        <f t="shared" ca="1" si="46"/>
        <v>0</v>
      </c>
      <c r="BN15" s="49">
        <f t="shared" ca="1" si="47"/>
        <v>0</v>
      </c>
      <c r="BO15" s="49">
        <f ca="1">+AR15+AS15-BH15</f>
        <v>0</v>
      </c>
      <c r="BP15" s="49">
        <f t="shared" si="49"/>
        <v>0</v>
      </c>
    </row>
    <row r="16" spans="1:69" ht="15" x14ac:dyDescent="0.25">
      <c r="A16" s="304" t="s">
        <v>443</v>
      </c>
      <c r="B16" s="304" t="s">
        <v>444</v>
      </c>
      <c r="C16" s="6">
        <f t="shared" ref="C16:C19" si="53">C15+1</f>
        <v>9</v>
      </c>
      <c r="D16" s="361">
        <f t="shared" ref="D16:D19" si="54">$D$14</f>
        <v>42948</v>
      </c>
      <c r="E16" s="361" t="str">
        <f>+'Retail Rates'!$B$15</f>
        <v>LGCMG851</v>
      </c>
      <c r="F16" s="6" t="str">
        <f t="shared" si="50"/>
        <v>851</v>
      </c>
      <c r="G16" s="6" t="str">
        <f>VLOOKUP(E16,'Retail Rates'!$B$7:$D$34,3,FALSE)</f>
        <v>CGS</v>
      </c>
      <c r="H16" s="25"/>
      <c r="I16" s="25">
        <f>SUMIFS('Forcasted Customer Cts'!$Q$5:$Q$36,'Forcasted Customer Cts'!$D$5:$D$36,'Jul17-Jun18 Retail'!$E16,'Forcasted Customer Cts'!$C$5:$C$36,'Jul17-Jun18 Retail'!$A$9)</f>
        <v>23694</v>
      </c>
      <c r="J16" s="25">
        <f>SUMIFS('Forcasted Customer Cts'!$Q$5:$Q$36,'Forcasted Customer Cts'!$D$5:$D$36,'Jul17-Jun18 Retail'!$E16,'Forcasted Customer Cts'!$C$5:$C$36,'Jul17-Jun18 Retail'!$B$9)</f>
        <v>987</v>
      </c>
      <c r="K16" s="25">
        <f>SUMIFS('Forecasted Calendar Month Usage'!$Y$5:$Y$41,'Forecasted Calendar Month Usage'!$D$5:$D$41,'Jul17-Jun18 Retail'!$E16,'Forecasted Calendar Month Usage'!$C$5:$C$41,'Jul17-Jun18 Retail'!$A$11)*10</f>
        <v>2833217.9413693515</v>
      </c>
      <c r="L16" s="25">
        <f>SUMIFS('Forecasted Calendar Month Usage'!$Y$5:$Y$41,'Forecasted Calendar Month Usage'!$D$5:$D$41,'Jul17-Jun18 Retail'!$E16,'Forecasted Calendar Month Usage'!$C$5:$C$41,'Jul17-Jun18 Retail'!$B$11)*10</f>
        <v>87603.464747111575</v>
      </c>
      <c r="M16" s="25"/>
      <c r="N16" s="26">
        <f>VLOOKUP($E16,'Retail Rates'!$B$7:$L$34,5,FALSE)</f>
        <v>40</v>
      </c>
      <c r="O16" s="26">
        <f>VLOOKUP($E16,'Retail Rates'!$B$7:$L$34,6,FALSE)</f>
        <v>180</v>
      </c>
      <c r="P16" s="27">
        <f>VLOOKUP($E16,'Retail Rates'!$B$7:$L$34,7,FALSE)</f>
        <v>0.21504000000000001</v>
      </c>
      <c r="Q16" s="27">
        <f>VLOOKUP($E16,'Retail Rates'!$B$7:$L$34,8,FALSE)</f>
        <v>0.16504000000000002</v>
      </c>
      <c r="R16" s="27"/>
      <c r="S16" s="26">
        <f>VLOOKUP($E16,'Retail Rates'!$B$7:$L$34,9,FALSE)</f>
        <v>0</v>
      </c>
      <c r="T16" s="27">
        <f>VLOOKUP($E16,'Retail Rates'!$B$7:$L$34,10,FALSE)</f>
        <v>0</v>
      </c>
      <c r="U16" s="26">
        <f>VLOOKUP($E16,'Retail Rates'!$B$7:$L$34,11,FALSE)</f>
        <v>0</v>
      </c>
      <c r="V16" s="309"/>
      <c r="W16" s="28">
        <f t="shared" si="31"/>
        <v>947760</v>
      </c>
      <c r="X16" s="28"/>
      <c r="Y16" s="28">
        <f>+J16*O16</f>
        <v>177660</v>
      </c>
      <c r="Z16" s="28">
        <f t="shared" si="32"/>
        <v>609255.18611206533</v>
      </c>
      <c r="AA16" s="28">
        <f t="shared" si="33"/>
        <v>14458.075821863296</v>
      </c>
      <c r="AB16" s="28">
        <f t="shared" si="34"/>
        <v>0</v>
      </c>
      <c r="AC16" s="28"/>
      <c r="AD16" s="28"/>
      <c r="AE16" s="28">
        <f t="shared" si="51"/>
        <v>0</v>
      </c>
      <c r="AF16" s="28">
        <f t="shared" si="35"/>
        <v>0</v>
      </c>
      <c r="AG16" s="48">
        <f ca="1">SUMIFS(Adjustments!H$5:H$557,Adjustments!$B$5:$B$557,'Jul17-Jun18 Retail'!$D16,Adjustments!$C$5:$C$557,'Jul17-Jun18 Retail'!$E16)</f>
        <v>0</v>
      </c>
      <c r="AH16" s="48">
        <f ca="1">SUMIFS(Adjustments!I$5:I$557,Adjustments!$B$5:$B$557,'Jul17-Jun18 Retail'!$D16,Adjustments!$C$5:$C$557,'Jul17-Jun18 Retail'!$E16)</f>
        <v>0</v>
      </c>
      <c r="AI16" s="40">
        <f ca="1">SUMIFS(Adjustments!J$5:J$557,Adjustments!$B$5:$B$557,'Jul17-Jun18 Retail'!$D16,Adjustments!$C$5:$C$557,'Jul17-Jun18 Retail'!$E16)</f>
        <v>0</v>
      </c>
      <c r="AJ16" s="40">
        <f ca="1">SUMIFS(Adjustments!K$5:K$557,Adjustments!$B$5:$B$557,'Jul17-Jun18 Retail'!$D16,Adjustments!$C$5:$C$557,'Jul17-Jun18 Retail'!$E16)</f>
        <v>0</v>
      </c>
      <c r="AK16" s="40">
        <f ca="1">SUMIFS(Adjustments!L$5:L$557,Adjustments!$B$5:$B$557,'Jul17-Jun18 Retail'!$D16,Adjustments!$C$5:$C$557,'Jul17-Jun18 Retail'!$E16)</f>
        <v>0</v>
      </c>
      <c r="AL16" s="40">
        <f ca="1">SUMIFS(Adjustments!M$5:M$557,Adjustments!$B$5:$B$557,'Jul17-Jun18 Retail'!$D16,Adjustments!$C$5:$C$557,'Jul17-Jun18 Retail'!$E16)</f>
        <v>0</v>
      </c>
      <c r="AM16" s="40">
        <f ca="1">SUMIFS(Adjustments!N$5:N$557,Adjustments!$B$5:$B$557,'Jul17-Jun18 Retail'!$D16,Adjustments!$C$5:$C$557,'Jul17-Jun18 Retail'!$E16)</f>
        <v>0</v>
      </c>
      <c r="AN16" s="40">
        <f ca="1">SUMIFS(Adjustments!O$5:O$557,Adjustments!$B$5:$B$557,'Jul17-Jun18 Retail'!$D16,Adjustments!$C$5:$C$557,'Jul17-Jun18 Retail'!$E16)</f>
        <v>0</v>
      </c>
      <c r="AO16" s="40">
        <f ca="1">SUMIFS(Adjustments!P$5:P$557,Adjustments!$B$5:$B$557,'Jul17-Jun18 Retail'!$D16,Adjustments!$C$5:$C$557,'Jul17-Jun18 Retail'!$E16)</f>
        <v>0</v>
      </c>
      <c r="AP16" s="28">
        <f t="shared" ca="1" si="36"/>
        <v>947760</v>
      </c>
      <c r="AQ16" s="28">
        <f t="shared" ca="1" si="37"/>
        <v>177660</v>
      </c>
      <c r="AR16" s="28">
        <f t="shared" ca="1" si="38"/>
        <v>609255.18611206533</v>
      </c>
      <c r="AS16" s="28">
        <f t="shared" ca="1" si="39"/>
        <v>14458.075821863296</v>
      </c>
      <c r="AT16" s="35">
        <f t="shared" si="40"/>
        <v>934621.76835051994</v>
      </c>
      <c r="AU16" s="35">
        <f t="shared" si="41"/>
        <v>83770.870582564807</v>
      </c>
      <c r="AV16" s="35"/>
      <c r="AW16" s="35">
        <f t="shared" si="42"/>
        <v>779568.87541657127</v>
      </c>
      <c r="AX16" s="28">
        <f t="shared" ca="1" si="43"/>
        <v>0</v>
      </c>
      <c r="AY16" s="28"/>
      <c r="AZ16" s="35">
        <f t="shared" ca="1" si="44"/>
        <v>3547094.78</v>
      </c>
      <c r="BA16" s="35">
        <f t="shared" si="52"/>
        <v>3547094.7763650771</v>
      </c>
      <c r="BB16" s="36">
        <f t="shared" ca="1" si="45"/>
        <v>1</v>
      </c>
      <c r="BC16" s="35">
        <f>SUMIFS('Fin Forecast'!$L$3:$L$600,'Fin Forecast'!$B$3:$B$600,'Jul17-Jun18 Retail'!$E16,'Fin Forecast'!$C$3:$C$600,'Jul17-Jun18 Retail'!$BC$5)*1000</f>
        <v>83770.870582564807</v>
      </c>
      <c r="BD16" s="35">
        <f>SUMIFS('Fin Forecast'!$L$3:$L$600,'Fin Forecast'!$B$3:$B$600,'Jul17-Jun18 Retail'!$E16,'Fin Forecast'!$C$3:$C$600,'Jul17-Jun18 Retail'!$BD$5)*1000</f>
        <v>934621.76835051994</v>
      </c>
      <c r="BE16" s="35"/>
      <c r="BF16" s="35"/>
      <c r="BG16" s="35">
        <f>SUMIFS('Fin Forecast'!$L$3:$L$600,'Fin Forecast'!$B$3:$B$600,'Jul17-Jun18 Retail'!$E16,'Fin Forecast'!$C$3:$C$600,'Jul17-Jun18 Retail'!$BG$5)*1000</f>
        <v>1125420</v>
      </c>
      <c r="BH16" s="35">
        <f>SUMIFS('Fin Forecast'!$L$3:$L$600,'Fin Forecast'!$B$3:$B$600,'Jul17-Jun18 Retail'!$E16,'Fin Forecast'!$C$3:$C$600,'Jul17-Jun18 Retail'!$BH$5)*1000</f>
        <v>623713.26201542083</v>
      </c>
      <c r="BI16" s="35">
        <f>SUMIFS('Fin Forecast'!$L$3:$L$600,'Fin Forecast'!$B$3:$B$600,'Jul17-Jun18 Retail'!$E16,'Fin Forecast'!$C$3:$C$600,'Jul17-Jun18 Retail'!$BI$5)*1000</f>
        <v>0</v>
      </c>
      <c r="BJ16" s="35">
        <f>SUMIFS('Fin Forecast'!$L$3:$L$600,'Fin Forecast'!$B$3:$B$600,'Jul17-Jun18 Retail'!$E16,'Fin Forecast'!$C$3:$C$600,'Jul17-Jun18 Retail'!$BJ$5)*1000</f>
        <v>779568.87541657127</v>
      </c>
      <c r="BL16" s="44">
        <f t="shared" ca="1" si="46"/>
        <v>3.6349226720631123E-3</v>
      </c>
      <c r="BN16" s="49">
        <f t="shared" ca="1" si="47"/>
        <v>0</v>
      </c>
      <c r="BO16" s="49">
        <f t="shared" ca="1" si="48"/>
        <v>-8.149223867803812E-5</v>
      </c>
      <c r="BP16" s="49">
        <f t="shared" si="49"/>
        <v>0</v>
      </c>
    </row>
    <row r="17" spans="1:68" ht="15" customHeight="1" x14ac:dyDescent="0.25">
      <c r="A17" s="304"/>
      <c r="B17" s="304"/>
      <c r="C17" s="6">
        <f>C16+1</f>
        <v>10</v>
      </c>
      <c r="D17" s="361">
        <f t="shared" si="54"/>
        <v>42948</v>
      </c>
      <c r="E17" s="361" t="str">
        <f>+'Retail Rates'!$B$20</f>
        <v>LGCMG875</v>
      </c>
      <c r="F17" s="6" t="str">
        <f t="shared" si="50"/>
        <v>875</v>
      </c>
      <c r="G17" s="6" t="str">
        <f>VLOOKUP(E17,'Retail Rates'!$B$7:$D$34,3,FALSE)</f>
        <v>DGGS-C</v>
      </c>
      <c r="H17" s="25">
        <v>1</v>
      </c>
      <c r="I17" s="25"/>
      <c r="J17" s="25"/>
      <c r="K17" s="25">
        <v>6</v>
      </c>
      <c r="L17" s="25"/>
      <c r="M17" s="25">
        <v>483</v>
      </c>
      <c r="N17" s="26">
        <f>VLOOKUP($E17,'Retail Rates'!$B$7:$L$34,5,FALSE)</f>
        <v>40</v>
      </c>
      <c r="O17" s="26">
        <f>VLOOKUP($E17,'Retail Rates'!$B$7:$L$34,6,FALSE)</f>
        <v>180</v>
      </c>
      <c r="P17" s="27">
        <f>VLOOKUP($E17,'Retail Rates'!$B$7:$L$34,7,FALSE)</f>
        <v>3.329E-2</v>
      </c>
      <c r="Q17" s="27">
        <f>VLOOKUP($E17,'Retail Rates'!$B$7:$L$34,8,FALSE)</f>
        <v>0</v>
      </c>
      <c r="R17" s="27"/>
      <c r="S17" s="26">
        <f>VLOOKUP($E17,'Retail Rates'!$B$7:$L$34,9,FALSE)</f>
        <v>0</v>
      </c>
      <c r="T17" s="27">
        <f>VLOOKUP($E17,'Retail Rates'!$B$7:$L$34,10,FALSE)</f>
        <v>0</v>
      </c>
      <c r="U17" s="403">
        <f>VLOOKUP($E17,'Retail Rates'!$B$7:$L$34,11,FALSE)</f>
        <v>1.1263000000000001</v>
      </c>
      <c r="V17" s="309"/>
      <c r="W17" s="28">
        <f t="shared" si="31"/>
        <v>40</v>
      </c>
      <c r="X17" s="28"/>
      <c r="Y17" s="28"/>
      <c r="Z17" s="28">
        <f t="shared" si="32"/>
        <v>0.19974</v>
      </c>
      <c r="AA17" s="28">
        <f t="shared" si="33"/>
        <v>0</v>
      </c>
      <c r="AB17" s="28">
        <f t="shared" si="34"/>
        <v>0</v>
      </c>
      <c r="AC17" s="28"/>
      <c r="AD17" s="28"/>
      <c r="AE17" s="28">
        <f t="shared" si="51"/>
        <v>544.00290000000007</v>
      </c>
      <c r="AF17" s="28">
        <f t="shared" si="35"/>
        <v>0</v>
      </c>
      <c r="AG17" s="48">
        <f ca="1">SUMIFS(Adjustments!H$5:H$557,Adjustments!$B$5:$B$557,'Jul17-Jun18 Retail'!$D17,Adjustments!$C$5:$C$557,'Jul17-Jun18 Retail'!$E17)</f>
        <v>0</v>
      </c>
      <c r="AH17" s="48">
        <f ca="1">SUMIFS(Adjustments!I$5:I$557,Adjustments!$B$5:$B$557,'Jul17-Jun18 Retail'!$D17,Adjustments!$C$5:$C$557,'Jul17-Jun18 Retail'!$E17)</f>
        <v>0</v>
      </c>
      <c r="AI17" s="40">
        <f ca="1">SUMIFS(Adjustments!J$5:J$557,Adjustments!$B$5:$B$557,'Jul17-Jun18 Retail'!$D17,Adjustments!$C$5:$C$557,'Jul17-Jun18 Retail'!$E17)</f>
        <v>0</v>
      </c>
      <c r="AJ17" s="40">
        <f ca="1">SUMIFS(Adjustments!K$5:K$557,Adjustments!$B$5:$B$557,'Jul17-Jun18 Retail'!$D17,Adjustments!$C$5:$C$557,'Jul17-Jun18 Retail'!$E17)</f>
        <v>0</v>
      </c>
      <c r="AK17" s="40">
        <f ca="1">SUMIFS(Adjustments!L$5:L$557,Adjustments!$B$5:$B$557,'Jul17-Jun18 Retail'!$D17,Adjustments!$C$5:$C$557,'Jul17-Jun18 Retail'!$E17)</f>
        <v>0</v>
      </c>
      <c r="AL17" s="40">
        <f ca="1">SUMIFS(Adjustments!M$5:M$557,Adjustments!$B$5:$B$557,'Jul17-Jun18 Retail'!$D17,Adjustments!$C$5:$C$557,'Jul17-Jun18 Retail'!$E17)</f>
        <v>0</v>
      </c>
      <c r="AM17" s="40">
        <f ca="1">SUMIFS(Adjustments!N$5:N$557,Adjustments!$B$5:$B$557,'Jul17-Jun18 Retail'!$D17,Adjustments!$C$5:$C$557,'Jul17-Jun18 Retail'!$E17)</f>
        <v>0</v>
      </c>
      <c r="AN17" s="40">
        <f ca="1">SUMIFS(Adjustments!O$5:O$557,Adjustments!$B$5:$B$557,'Jul17-Jun18 Retail'!$D17,Adjustments!$C$5:$C$557,'Jul17-Jun18 Retail'!$E17)</f>
        <v>0</v>
      </c>
      <c r="AO17" s="40">
        <f ca="1">SUMIFS(Adjustments!P$5:P$557,Adjustments!$B$5:$B$557,'Jul17-Jun18 Retail'!$D17,Adjustments!$C$5:$C$557,'Jul17-Jun18 Retail'!$E17)</f>
        <v>0</v>
      </c>
      <c r="AP17" s="28">
        <f t="shared" ca="1" si="36"/>
        <v>40</v>
      </c>
      <c r="AQ17" s="28">
        <f t="shared" ca="1" si="37"/>
        <v>0</v>
      </c>
      <c r="AR17" s="28">
        <f t="shared" ca="1" si="38"/>
        <v>0.19974</v>
      </c>
      <c r="AS17" s="28">
        <f t="shared" ca="1" si="39"/>
        <v>0</v>
      </c>
      <c r="AT17" s="35">
        <f t="shared" si="40"/>
        <v>1.9199156092293601</v>
      </c>
      <c r="AU17" s="35">
        <f t="shared" si="41"/>
        <v>0.172083518142368</v>
      </c>
      <c r="AV17" s="35"/>
      <c r="AW17" s="35">
        <f t="shared" si="42"/>
        <v>0</v>
      </c>
      <c r="AX17" s="28">
        <f t="shared" ca="1" si="43"/>
        <v>544.00290000000007</v>
      </c>
      <c r="AY17" s="28"/>
      <c r="AZ17" s="35">
        <f t="shared" ca="1" si="44"/>
        <v>586.29</v>
      </c>
      <c r="BA17" s="35">
        <f t="shared" si="52"/>
        <v>586.29463912737174</v>
      </c>
      <c r="BB17" s="36">
        <f t="shared" ca="1" si="45"/>
        <v>1.000008</v>
      </c>
      <c r="BC17" s="35">
        <f>SUMIFS('Fin Forecast'!$L$3:$L$600,'Fin Forecast'!$B$3:$B$600,'Jul17-Jun18 Retail'!$E17,'Fin Forecast'!$C$3:$C$600,'Jul17-Jun18 Retail'!$BC$5)*1000</f>
        <v>0.172083518142368</v>
      </c>
      <c r="BD17" s="35">
        <f>SUMIFS('Fin Forecast'!$L$3:$L$600,'Fin Forecast'!$B$3:$B$600,'Jul17-Jun18 Retail'!$E17,'Fin Forecast'!$C$3:$C$600,'Jul17-Jun18 Retail'!$BD$5)*1000</f>
        <v>1.9199156092293601</v>
      </c>
      <c r="BE17" s="35"/>
      <c r="BF17" s="35"/>
      <c r="BG17" s="35">
        <f>SUMIFS('Fin Forecast'!$L$3:$L$600,'Fin Forecast'!$B$3:$B$600,'Jul17-Jun18 Retail'!$E17,'Fin Forecast'!$C$3:$C$600,'Jul17-Jun18 Retail'!$BG$5)*1000</f>
        <v>40</v>
      </c>
      <c r="BH17" s="35">
        <f>SUMIFS('Fin Forecast'!$L$3:$L$600,'Fin Forecast'!$B$3:$B$600,'Jul17-Jun18 Retail'!$E17,'Fin Forecast'!$C$3:$C$600,'Jul17-Jun18 Retail'!$BH$5)*1000</f>
        <v>0.199739999999999</v>
      </c>
      <c r="BI17" s="35">
        <f>SUMIFS('Fin Forecast'!$L$3:$L$600,'Fin Forecast'!$B$3:$B$600,'Jul17-Jun18 Retail'!$E17,'Fin Forecast'!$C$3:$C$600,'Jul17-Jun18 Retail'!$BI$5)*1000</f>
        <v>544.00289999999995</v>
      </c>
      <c r="BJ17" s="35">
        <f>SUMIFS('Fin Forecast'!$L$3:$L$600,'Fin Forecast'!$B$3:$B$600,'Jul17-Jun18 Retail'!$E17,'Fin Forecast'!$C$3:$C$600,'Jul17-Jun18 Retail'!$BJ$5)*1000</f>
        <v>0</v>
      </c>
      <c r="BL17" s="44">
        <f t="shared" ca="1" si="46"/>
        <v>-4.6391273717745207E-3</v>
      </c>
      <c r="BN17" s="49">
        <f t="shared" ca="1" si="47"/>
        <v>0</v>
      </c>
      <c r="BO17" s="49">
        <f t="shared" ca="1" si="48"/>
        <v>9.9920072216264089E-16</v>
      </c>
      <c r="BP17" s="49">
        <f t="shared" si="49"/>
        <v>0</v>
      </c>
    </row>
    <row r="18" spans="1:68" ht="15" customHeight="1" x14ac:dyDescent="0.25">
      <c r="A18" s="13" t="s">
        <v>445</v>
      </c>
      <c r="B18" s="13" t="s">
        <v>446</v>
      </c>
      <c r="C18" s="6">
        <f t="shared" si="53"/>
        <v>11</v>
      </c>
      <c r="D18" s="361">
        <f t="shared" si="54"/>
        <v>42948</v>
      </c>
      <c r="E18" s="361" t="str">
        <f>+'Retail Rates'!$B$26</f>
        <v>LGING855</v>
      </c>
      <c r="F18" s="6" t="str">
        <f t="shared" si="50"/>
        <v>855</v>
      </c>
      <c r="G18" s="6" t="s">
        <v>111</v>
      </c>
      <c r="H18" s="25"/>
      <c r="I18" s="25">
        <f>SUMIFS('Forcasted Customer Cts'!$Q$5:$Q$36,'Forcasted Customer Cts'!$D$5:$D$36,'Jul17-Jun18 Retail'!$E18,'Forcasted Customer Cts'!$C$5:$C$36,'Jul17-Jun18 Retail'!$A$9)</f>
        <v>146</v>
      </c>
      <c r="J18" s="25">
        <f>SUMIFS('Forcasted Customer Cts'!$Q$5:$Q$36,'Forcasted Customer Cts'!$D$5:$D$36,'Jul17-Jun18 Retail'!$E18,'Forcasted Customer Cts'!$C$5:$C$36,'Jul17-Jun18 Retail'!$B$9)</f>
        <v>114</v>
      </c>
      <c r="K18" s="25">
        <f>SUMIFS('Forecasted Calendar Month Usage'!$Y$5:$Y$41,'Forecasted Calendar Month Usage'!$D$5:$D$41,'Jul17-Jun18 Retail'!$E18,'Forecasted Calendar Month Usage'!$C$5:$C$41,'Jul17-Jun18 Retail'!$A$11)*10</f>
        <v>656621.39013658022</v>
      </c>
      <c r="L18" s="25">
        <f>SUMIFS('Forecasted Calendar Month Usage'!$Y$5:$Y$41,'Forecasted Calendar Month Usage'!$D$5:$D$41,'Jul17-Jun18 Retail'!$E18,'Forecasted Calendar Month Usage'!$C$5:$C$41,'Jul17-Jun18 Retail'!$B$11)*10</f>
        <v>214349.99278822431</v>
      </c>
      <c r="M18" s="25"/>
      <c r="N18" s="26">
        <f>VLOOKUP($E18,'Retail Rates'!$B$7:$L$34,5,FALSE)</f>
        <v>40</v>
      </c>
      <c r="O18" s="26">
        <f>VLOOKUP($E18,'Retail Rates'!$B$7:$L$34,6,FALSE)</f>
        <v>180</v>
      </c>
      <c r="P18" s="27">
        <f>VLOOKUP($E18,'Retail Rates'!$B$7:$L$34,7,FALSE)</f>
        <v>0.22778999999999999</v>
      </c>
      <c r="Q18" s="27">
        <f>VLOOKUP($E18,'Retail Rates'!$B$7:$L$34,8,FALSE)</f>
        <v>0.17779</v>
      </c>
      <c r="R18" s="27"/>
      <c r="S18" s="26">
        <f>VLOOKUP($E18,'Retail Rates'!$B$7:$L$34,9,FALSE)</f>
        <v>0</v>
      </c>
      <c r="T18" s="27">
        <f>VLOOKUP($E18,'Retail Rates'!$B$7:$L$34,10,FALSE)</f>
        <v>0</v>
      </c>
      <c r="U18" s="26">
        <f>VLOOKUP($E18,'Retail Rates'!$B$7:$L$34,11,FALSE)</f>
        <v>0</v>
      </c>
      <c r="V18" s="309"/>
      <c r="W18" s="28">
        <f t="shared" si="31"/>
        <v>5840</v>
      </c>
      <c r="X18" s="28"/>
      <c r="Y18" s="28">
        <f>+J18*O18</f>
        <v>20520</v>
      </c>
      <c r="Z18" s="28">
        <f>+K18*P18</f>
        <v>149571.78645921161</v>
      </c>
      <c r="AA18" s="28">
        <f>+L18*Q18</f>
        <v>38109.285217818397</v>
      </c>
      <c r="AB18" s="28">
        <f t="shared" si="34"/>
        <v>0</v>
      </c>
      <c r="AC18" s="28"/>
      <c r="AD18" s="28"/>
      <c r="AE18" s="28">
        <f t="shared" si="51"/>
        <v>0</v>
      </c>
      <c r="AF18" s="28">
        <f t="shared" si="35"/>
        <v>0</v>
      </c>
      <c r="AG18" s="48">
        <f ca="1">SUMIFS(Adjustments!H$5:H$557,Adjustments!$B$5:$B$557,'Jul17-Jun18 Retail'!$D18,Adjustments!$C$5:$C$557,'Jul17-Jun18 Retail'!$E18)</f>
        <v>0</v>
      </c>
      <c r="AH18" s="48">
        <f ca="1">SUMIFS(Adjustments!I$5:I$557,Adjustments!$B$5:$B$557,'Jul17-Jun18 Retail'!$D18,Adjustments!$C$5:$C$557,'Jul17-Jun18 Retail'!$E18)</f>
        <v>0</v>
      </c>
      <c r="AI18" s="40">
        <f ca="1">SUMIFS(Adjustments!J$5:J$557,Adjustments!$B$5:$B$557,'Jul17-Jun18 Retail'!$D18,Adjustments!$C$5:$C$557,'Jul17-Jun18 Retail'!$E18)</f>
        <v>0</v>
      </c>
      <c r="AJ18" s="40">
        <f ca="1">SUMIFS(Adjustments!K$5:K$557,Adjustments!$B$5:$B$557,'Jul17-Jun18 Retail'!$D18,Adjustments!$C$5:$C$557,'Jul17-Jun18 Retail'!$E18)</f>
        <v>0</v>
      </c>
      <c r="AK18" s="40">
        <f ca="1">SUMIFS(Adjustments!L$5:L$557,Adjustments!$B$5:$B$557,'Jul17-Jun18 Retail'!$D18,Adjustments!$C$5:$C$557,'Jul17-Jun18 Retail'!$E18)</f>
        <v>0</v>
      </c>
      <c r="AL18" s="40">
        <f ca="1">SUMIFS(Adjustments!M$5:M$557,Adjustments!$B$5:$B$557,'Jul17-Jun18 Retail'!$D18,Adjustments!$C$5:$C$557,'Jul17-Jun18 Retail'!$E18)</f>
        <v>0</v>
      </c>
      <c r="AM18" s="40">
        <f ca="1">SUMIFS(Adjustments!N$5:N$557,Adjustments!$B$5:$B$557,'Jul17-Jun18 Retail'!$D18,Adjustments!$C$5:$C$557,'Jul17-Jun18 Retail'!$E18)</f>
        <v>0</v>
      </c>
      <c r="AN18" s="40">
        <f ca="1">SUMIFS(Adjustments!O$5:O$557,Adjustments!$B$5:$B$557,'Jul17-Jun18 Retail'!$D18,Adjustments!$C$5:$C$557,'Jul17-Jun18 Retail'!$E18)</f>
        <v>0</v>
      </c>
      <c r="AO18" s="40">
        <f ca="1">SUMIFS(Adjustments!P$5:P$557,Adjustments!$B$5:$B$557,'Jul17-Jun18 Retail'!$D18,Adjustments!$C$5:$C$557,'Jul17-Jun18 Retail'!$E18)</f>
        <v>0</v>
      </c>
      <c r="AP18" s="28">
        <f t="shared" ca="1" si="36"/>
        <v>5840</v>
      </c>
      <c r="AQ18" s="28">
        <f t="shared" ca="1" si="37"/>
        <v>20520</v>
      </c>
      <c r="AR18" s="28">
        <f t="shared" ca="1" si="38"/>
        <v>149571.78645921161</v>
      </c>
      <c r="AS18" s="28">
        <f t="shared" ca="1" si="39"/>
        <v>38109.285217818397</v>
      </c>
      <c r="AT18" s="35">
        <f t="shared" si="40"/>
        <v>278698.59220043226</v>
      </c>
      <c r="AU18" s="35">
        <f t="shared" si="41"/>
        <v>0</v>
      </c>
      <c r="AV18" s="35"/>
      <c r="AW18" s="35">
        <f t="shared" si="42"/>
        <v>69346.15024863265</v>
      </c>
      <c r="AX18" s="28">
        <f t="shared" ca="1" si="43"/>
        <v>0</v>
      </c>
      <c r="AY18" s="28"/>
      <c r="AZ18" s="35">
        <f t="shared" ca="1" si="44"/>
        <v>562085.81000000006</v>
      </c>
      <c r="BA18" s="35">
        <f t="shared" si="52"/>
        <v>562085.81411857775</v>
      </c>
      <c r="BB18" s="36">
        <f t="shared" ca="1" si="45"/>
        <v>1</v>
      </c>
      <c r="BC18" s="35">
        <f>SUMIFS('Fin Forecast'!$L$3:$L$600,'Fin Forecast'!$B$3:$B$600,'Jul17-Jun18 Retail'!$E18,'Fin Forecast'!$C$3:$C$600,'Jul17-Jun18 Retail'!$BC$5)*1000</f>
        <v>0</v>
      </c>
      <c r="BD18" s="35">
        <f>SUMIFS('Fin Forecast'!$L$3:$L$600,'Fin Forecast'!$B$3:$B$600,'Jul17-Jun18 Retail'!$E18,'Fin Forecast'!$C$3:$C$600,'Jul17-Jun18 Retail'!$BD$5)*1000</f>
        <v>278698.59220043226</v>
      </c>
      <c r="BE18" s="35"/>
      <c r="BF18" s="35"/>
      <c r="BG18" s="35">
        <f>SUMIFS('Fin Forecast'!$L$3:$L$600,'Fin Forecast'!$B$3:$B$600,'Jul17-Jun18 Retail'!$E18,'Fin Forecast'!$C$3:$C$600,'Jul17-Jun18 Retail'!$BG$5)*1000</f>
        <v>26360</v>
      </c>
      <c r="BH18" s="35">
        <f>SUMIFS('Fin Forecast'!$L$3:$L$600,'Fin Forecast'!$B$3:$B$600,'Jul17-Jun18 Retail'!$E18,'Fin Forecast'!$C$3:$C$600,'Jul17-Jun18 Retail'!$BH$5)*1000</f>
        <v>187681.07166951281</v>
      </c>
      <c r="BI18" s="35">
        <f>SUMIFS('Fin Forecast'!$L$3:$L$600,'Fin Forecast'!$B$3:$B$600,'Jul17-Jun18 Retail'!$E18,'Fin Forecast'!$C$3:$C$600,'Jul17-Jun18 Retail'!$BI$5)*1000</f>
        <v>0</v>
      </c>
      <c r="BJ18" s="35">
        <f>SUMIFS('Fin Forecast'!$L$3:$L$600,'Fin Forecast'!$B$3:$B$600,'Jul17-Jun18 Retail'!$E18,'Fin Forecast'!$C$3:$C$600,'Jul17-Jun18 Retail'!$BJ$5)*1000</f>
        <v>69346.15024863265</v>
      </c>
      <c r="BL18" s="44">
        <f t="shared" ca="1" si="46"/>
        <v>-4.1185776935890317E-3</v>
      </c>
      <c r="BN18" s="49">
        <f t="shared" ca="1" si="47"/>
        <v>0</v>
      </c>
      <c r="BO18" s="49">
        <f t="shared" ca="1" si="48"/>
        <v>7.5171992648392916E-6</v>
      </c>
      <c r="BP18" s="49">
        <f t="shared" si="49"/>
        <v>0</v>
      </c>
    </row>
    <row r="19" spans="1:68" ht="15" customHeight="1" x14ac:dyDescent="0.25">
      <c r="C19" s="6">
        <f t="shared" si="53"/>
        <v>12</v>
      </c>
      <c r="D19" s="361">
        <f t="shared" si="54"/>
        <v>42948</v>
      </c>
      <c r="E19" s="361" t="str">
        <f>+'Retail Rates'!$B$31</f>
        <v>LGRSG811</v>
      </c>
      <c r="F19" s="6" t="str">
        <f t="shared" si="50"/>
        <v>811</v>
      </c>
      <c r="G19" s="6" t="str">
        <f>VLOOKUP(E19,'Retail Rates'!$B$7:$D$34,3,FALSE)</f>
        <v>RGS</v>
      </c>
      <c r="H19" s="25">
        <f>SUMIF('Forcasted Customer Cts'!$D$5:$D$36,'Jul17-Jun18 Retail'!$E19,'Forcasted Customer Cts'!$Q$5:$Q$36)</f>
        <v>295508</v>
      </c>
      <c r="I19" s="25"/>
      <c r="J19" s="25"/>
      <c r="K19" s="25">
        <f>SUMIF('Forecasted Calendar Month Usage'!$D$5:$D$41,'Jul17-Jun18 Retail'!$E19,'Forecasted Calendar Month Usage'!$Y$5:$Y$41)*10</f>
        <v>3255728.0696375966</v>
      </c>
      <c r="L19" s="25"/>
      <c r="M19" s="25"/>
      <c r="N19" s="26">
        <f>VLOOKUP($E19,'Retail Rates'!$B$7:$L$34,5,FALSE)</f>
        <v>13.5</v>
      </c>
      <c r="O19" s="26">
        <f>VLOOKUP($E19,'Retail Rates'!$B$7:$L$34,6,FALSE)</f>
        <v>0</v>
      </c>
      <c r="P19" s="27">
        <f>VLOOKUP($E19,'Retail Rates'!$B$7:$L$34,7,FALSE)</f>
        <v>0.28693000000000002</v>
      </c>
      <c r="Q19" s="27">
        <f>VLOOKUP($E19,'Retail Rates'!$B$7:$L$34,8,FALSE)</f>
        <v>0</v>
      </c>
      <c r="R19" s="27"/>
      <c r="S19" s="26">
        <f>VLOOKUP($E19,'Retail Rates'!$B$7:$L$34,9,FALSE)</f>
        <v>0</v>
      </c>
      <c r="T19" s="27">
        <f>VLOOKUP($E19,'Retail Rates'!$B$7:$L$34,10,FALSE)</f>
        <v>0</v>
      </c>
      <c r="U19" s="26">
        <f>VLOOKUP($E19,'Retail Rates'!$B$7:$L$34,11,FALSE)</f>
        <v>0</v>
      </c>
      <c r="V19" s="309"/>
      <c r="W19" s="28">
        <f t="shared" si="31"/>
        <v>3989358</v>
      </c>
      <c r="X19" s="28"/>
      <c r="Y19" s="28"/>
      <c r="Z19" s="28">
        <f t="shared" ref="Z19" si="55">+K19*P19</f>
        <v>934166.0550211157</v>
      </c>
      <c r="AA19" s="28">
        <f t="shared" ref="AA19" si="56">+L19*Q19</f>
        <v>0</v>
      </c>
      <c r="AB19" s="28">
        <f t="shared" si="34"/>
        <v>0</v>
      </c>
      <c r="AC19" s="28"/>
      <c r="AD19" s="28"/>
      <c r="AE19" s="28">
        <f t="shared" si="51"/>
        <v>0</v>
      </c>
      <c r="AF19" s="28">
        <f t="shared" si="35"/>
        <v>0</v>
      </c>
      <c r="AG19" s="48">
        <f ca="1">SUMIFS(Adjustments!H$5:H$557,Adjustments!$B$5:$B$557,'Jul17-Jun18 Retail'!$D19,Adjustments!$C$5:$C$557,'Jul17-Jun18 Retail'!$E19)</f>
        <v>0</v>
      </c>
      <c r="AH19" s="48">
        <f ca="1">SUMIFS(Adjustments!I$5:I$557,Adjustments!$B$5:$B$557,'Jul17-Jun18 Retail'!$D19,Adjustments!$C$5:$C$557,'Jul17-Jun18 Retail'!$E19)</f>
        <v>0</v>
      </c>
      <c r="AI19" s="40">
        <f ca="1">SUMIFS(Adjustments!J$5:J$557,Adjustments!$B$5:$B$557,'Jul17-Jun18 Retail'!$D19,Adjustments!$C$5:$C$557,'Jul17-Jun18 Retail'!$E19)</f>
        <v>0</v>
      </c>
      <c r="AJ19" s="40">
        <f ca="1">SUMIFS(Adjustments!K$5:K$557,Adjustments!$B$5:$B$557,'Jul17-Jun18 Retail'!$D19,Adjustments!$C$5:$C$557,'Jul17-Jun18 Retail'!$E19)</f>
        <v>0</v>
      </c>
      <c r="AK19" s="40">
        <f ca="1">SUMIFS(Adjustments!L$5:L$557,Adjustments!$B$5:$B$557,'Jul17-Jun18 Retail'!$D19,Adjustments!$C$5:$C$557,'Jul17-Jun18 Retail'!$E19)</f>
        <v>0</v>
      </c>
      <c r="AL19" s="40">
        <f ca="1">SUMIFS(Adjustments!M$5:M$557,Adjustments!$B$5:$B$557,'Jul17-Jun18 Retail'!$D19,Adjustments!$C$5:$C$557,'Jul17-Jun18 Retail'!$E19)</f>
        <v>0</v>
      </c>
      <c r="AM19" s="40">
        <f ca="1">SUMIFS(Adjustments!N$5:N$557,Adjustments!$B$5:$B$557,'Jul17-Jun18 Retail'!$D19,Adjustments!$C$5:$C$557,'Jul17-Jun18 Retail'!$E19)</f>
        <v>0</v>
      </c>
      <c r="AN19" s="40">
        <f ca="1">SUMIFS(Adjustments!O$5:O$557,Adjustments!$B$5:$B$557,'Jul17-Jun18 Retail'!$D19,Adjustments!$C$5:$C$557,'Jul17-Jun18 Retail'!$E19)</f>
        <v>0</v>
      </c>
      <c r="AO19" s="40">
        <f ca="1">SUMIFS(Adjustments!P$5:P$557,Adjustments!$B$5:$B$557,'Jul17-Jun18 Retail'!$D19,Adjustments!$C$5:$C$557,'Jul17-Jun18 Retail'!$E19)</f>
        <v>0</v>
      </c>
      <c r="AP19" s="28">
        <f t="shared" ca="1" si="36"/>
        <v>3989358</v>
      </c>
      <c r="AQ19" s="28">
        <f t="shared" ca="1" si="37"/>
        <v>0</v>
      </c>
      <c r="AR19" s="28">
        <f t="shared" ca="1" si="38"/>
        <v>934166.0550211157</v>
      </c>
      <c r="AS19" s="28">
        <f t="shared" ca="1" si="39"/>
        <v>0</v>
      </c>
      <c r="AT19" s="35">
        <f t="shared" si="40"/>
        <v>1041787.1900764802</v>
      </c>
      <c r="AU19" s="35">
        <f t="shared" si="41"/>
        <v>93376.190058673004</v>
      </c>
      <c r="AV19" s="35"/>
      <c r="AW19" s="35">
        <f t="shared" si="42"/>
        <v>1817398.08157524</v>
      </c>
      <c r="AX19" s="28">
        <f t="shared" ca="1" si="43"/>
        <v>0</v>
      </c>
      <c r="AY19" s="28"/>
      <c r="AZ19" s="35">
        <f t="shared" ca="1" si="44"/>
        <v>7876085.5199999996</v>
      </c>
      <c r="BA19" s="35">
        <f t="shared" si="52"/>
        <v>7876085.5167547502</v>
      </c>
      <c r="BB19" s="36">
        <f t="shared" ca="1" si="45"/>
        <v>1</v>
      </c>
      <c r="BC19" s="35">
        <f>SUMIFS('Fin Forecast'!$L$3:$L$600,'Fin Forecast'!$B$3:$B$600,'Jul17-Jun18 Retail'!$E19,'Fin Forecast'!$C$3:$C$600,'Jul17-Jun18 Retail'!$BC$5)*1000</f>
        <v>93376.190058673004</v>
      </c>
      <c r="BD19" s="35">
        <f>SUMIFS('Fin Forecast'!$L$3:$L$600,'Fin Forecast'!$B$3:$B$600,'Jul17-Jun18 Retail'!$E19,'Fin Forecast'!$C$3:$C$600,'Jul17-Jun18 Retail'!$BD$5)*1000</f>
        <v>1041787.1900764802</v>
      </c>
      <c r="BE19" s="35"/>
      <c r="BF19" s="35"/>
      <c r="BG19" s="35">
        <f>SUMIFS('Fin Forecast'!$L$3:$L$600,'Fin Forecast'!$B$3:$B$600,'Jul17-Jun18 Retail'!$E19,'Fin Forecast'!$C$3:$C$600,'Jul17-Jun18 Retail'!$BG$5)*1000</f>
        <v>3989358</v>
      </c>
      <c r="BH19" s="35">
        <f>SUMIFS('Fin Forecast'!$L$3:$L$600,'Fin Forecast'!$B$3:$B$600,'Jul17-Jun18 Retail'!$E19,'Fin Forecast'!$C$3:$C$600,'Jul17-Jun18 Retail'!$BH$5)*1000</f>
        <v>934166.05504435697</v>
      </c>
      <c r="BI19" s="35">
        <f>SUMIFS('Fin Forecast'!$L$3:$L$600,'Fin Forecast'!$B$3:$B$600,'Jul17-Jun18 Retail'!$E19,'Fin Forecast'!$C$3:$C$600,'Jul17-Jun18 Retail'!$BI$5)*1000</f>
        <v>0</v>
      </c>
      <c r="BJ19" s="35">
        <f>SUMIFS('Fin Forecast'!$L$3:$L$600,'Fin Forecast'!$B$3:$B$600,'Jul17-Jun18 Retail'!$E19,'Fin Forecast'!$C$3:$C$600,'Jul17-Jun18 Retail'!$BJ$5)*1000</f>
        <v>1817398.08157524</v>
      </c>
      <c r="BL19" s="44">
        <f t="shared" ca="1" si="46"/>
        <v>3.2452493906021118E-3</v>
      </c>
      <c r="BN19" s="49">
        <f t="shared" ca="1" si="47"/>
        <v>0</v>
      </c>
      <c r="BO19" s="49">
        <f t="shared" ca="1" si="48"/>
        <v>-2.3241271264851093E-5</v>
      </c>
      <c r="BP19" s="49">
        <f t="shared" si="49"/>
        <v>0</v>
      </c>
    </row>
    <row r="20" spans="1:68" s="323" customFormat="1" ht="15" customHeight="1" x14ac:dyDescent="0.25">
      <c r="C20" s="324"/>
      <c r="D20" s="362"/>
      <c r="E20" s="362"/>
      <c r="F20" s="324"/>
      <c r="G20" s="324"/>
      <c r="H20" s="325"/>
      <c r="I20" s="325"/>
      <c r="J20" s="325"/>
      <c r="K20" s="325"/>
      <c r="L20" s="325"/>
      <c r="M20" s="325"/>
      <c r="N20" s="326"/>
      <c r="O20" s="326"/>
      <c r="P20" s="327"/>
      <c r="Q20" s="327"/>
      <c r="R20" s="327"/>
      <c r="S20" s="326"/>
      <c r="T20" s="327"/>
      <c r="U20" s="326"/>
      <c r="V20" s="328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30"/>
      <c r="AH20" s="330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31"/>
      <c r="BC20" s="329"/>
      <c r="BD20" s="329"/>
      <c r="BE20" s="329"/>
      <c r="BF20" s="329"/>
      <c r="BG20" s="329"/>
      <c r="BH20" s="329"/>
      <c r="BI20" s="329"/>
      <c r="BJ20" s="329"/>
      <c r="BL20" s="329"/>
      <c r="BN20" s="329"/>
      <c r="BO20" s="329"/>
      <c r="BP20" s="329"/>
    </row>
    <row r="21" spans="1:68" ht="15" customHeight="1" x14ac:dyDescent="0.25">
      <c r="C21" s="6">
        <f>C19+1</f>
        <v>13</v>
      </c>
      <c r="D21" s="361">
        <f>EDATE(D14,1)</f>
        <v>42979</v>
      </c>
      <c r="E21" s="361" t="str">
        <f>+'Retail Rates'!$B$7</f>
        <v>LGCMG865</v>
      </c>
      <c r="F21" s="6" t="str">
        <f>MID(E21,6,3)</f>
        <v>865</v>
      </c>
      <c r="G21" s="6" t="str">
        <f>VLOOKUP(E21,'Retail Rates'!$B$7:$D$34,3,FALSE)</f>
        <v>AAGS-C</v>
      </c>
      <c r="H21" s="25">
        <f>SUMIF('Forcasted Customer Cts'!$D$5:$D$36,'Jul17-Jun18 Retail'!$E21,'Forcasted Customer Cts'!$R$5:$R$36)</f>
        <v>4</v>
      </c>
      <c r="I21" s="25"/>
      <c r="J21" s="25"/>
      <c r="K21" s="25">
        <f>SUMIF('Forecasted Calendar Month Usage'!$D$5:$D$41,'Jul17-Jun18 Retail'!$E21,'Forecasted Calendar Month Usage'!$Z$5:$Z$41)*10</f>
        <v>112336.35961047115</v>
      </c>
      <c r="L21" s="25"/>
      <c r="M21" s="25"/>
      <c r="N21" s="26">
        <f>VLOOKUP($E21,'Retail Rates'!$B$7:$L$34,5,FALSE)</f>
        <v>400</v>
      </c>
      <c r="O21" s="26">
        <f>VLOOKUP($E21,'Retail Rates'!$B$7:$L$34,6,FALSE)</f>
        <v>0</v>
      </c>
      <c r="P21" s="27">
        <f>VLOOKUP($E21,'Retail Rates'!$B$7:$L$34,7,FALSE)</f>
        <v>7.009E-2</v>
      </c>
      <c r="Q21" s="27">
        <f>VLOOKUP($E21,'Retail Rates'!$B$7:$L$34,8,FALSE)</f>
        <v>0</v>
      </c>
      <c r="R21" s="27"/>
      <c r="S21" s="26">
        <f>VLOOKUP($E21,'Retail Rates'!$B$7:$L$34,9,FALSE)</f>
        <v>0</v>
      </c>
      <c r="T21" s="27">
        <f>VLOOKUP($E21,'Retail Rates'!$B$7:$L$34,10,FALSE)</f>
        <v>0</v>
      </c>
      <c r="U21" s="26">
        <f>VLOOKUP($E21,'Retail Rates'!$B$7:$L$34,11,FALSE)</f>
        <v>0</v>
      </c>
      <c r="V21" s="309"/>
      <c r="W21" s="28">
        <f t="shared" ref="W21:W26" si="57">(+H21*N21)+(I21*N21)</f>
        <v>1600</v>
      </c>
      <c r="X21" s="28"/>
      <c r="Y21" s="28"/>
      <c r="Z21" s="28">
        <f t="shared" ref="Z21:Z24" si="58">+K21*P21</f>
        <v>7873.6554450979229</v>
      </c>
      <c r="AA21" s="28">
        <f t="shared" ref="AA21:AA24" si="59">+L21*Q21</f>
        <v>0</v>
      </c>
      <c r="AB21" s="28">
        <f t="shared" ref="AB21:AB26" si="60">SUM(K21:L21)*R21</f>
        <v>0</v>
      </c>
      <c r="AC21" s="28"/>
      <c r="AD21" s="28"/>
      <c r="AE21" s="28">
        <f>M21*U21</f>
        <v>0</v>
      </c>
      <c r="AF21" s="28">
        <f t="shared" ref="AF21:AF26" si="61">(+H21*V21)+(I21*V21)</f>
        <v>0</v>
      </c>
      <c r="AG21" s="48">
        <f ca="1">SUMIFS(Adjustments!H$5:H$557,Adjustments!$B$5:$B$557,'Jul17-Jun18 Retail'!$D21,Adjustments!$C$5:$C$557,'Jul17-Jun18 Retail'!$E21)</f>
        <v>0</v>
      </c>
      <c r="AH21" s="48">
        <f ca="1">SUMIFS(Adjustments!I$5:I$557,Adjustments!$B$5:$B$557,'Jul17-Jun18 Retail'!$D21,Adjustments!$C$5:$C$557,'Jul17-Jun18 Retail'!$E21)</f>
        <v>0</v>
      </c>
      <c r="AI21" s="40">
        <f ca="1">SUMIFS(Adjustments!J$5:J$557,Adjustments!$B$5:$B$557,'Jul17-Jun18 Retail'!$D21,Adjustments!$C$5:$C$557,'Jul17-Jun18 Retail'!$E21)</f>
        <v>0</v>
      </c>
      <c r="AJ21" s="40">
        <f ca="1">SUMIFS(Adjustments!K$5:K$557,Adjustments!$B$5:$B$557,'Jul17-Jun18 Retail'!$D21,Adjustments!$C$5:$C$557,'Jul17-Jun18 Retail'!$E21)</f>
        <v>0</v>
      </c>
      <c r="AK21" s="40">
        <f ca="1">SUMIFS(Adjustments!L$5:L$557,Adjustments!$B$5:$B$557,'Jul17-Jun18 Retail'!$D21,Adjustments!$C$5:$C$557,'Jul17-Jun18 Retail'!$E21)</f>
        <v>0</v>
      </c>
      <c r="AL21" s="40">
        <f ca="1">SUMIFS(Adjustments!M$5:M$557,Adjustments!$B$5:$B$557,'Jul17-Jun18 Retail'!$D21,Adjustments!$C$5:$C$557,'Jul17-Jun18 Retail'!$E21)</f>
        <v>0</v>
      </c>
      <c r="AM21" s="40">
        <f ca="1">SUMIFS(Adjustments!N$5:N$557,Adjustments!$B$5:$B$557,'Jul17-Jun18 Retail'!$D21,Adjustments!$C$5:$C$557,'Jul17-Jun18 Retail'!$E21)</f>
        <v>0</v>
      </c>
      <c r="AN21" s="40">
        <f ca="1">SUMIFS(Adjustments!O$5:O$557,Adjustments!$B$5:$B$557,'Jul17-Jun18 Retail'!$D21,Adjustments!$C$5:$C$557,'Jul17-Jun18 Retail'!$E21)</f>
        <v>0</v>
      </c>
      <c r="AO21" s="40">
        <f ca="1">SUMIFS(Adjustments!P$5:P$557,Adjustments!$B$5:$B$557,'Jul17-Jun18 Retail'!$D21,Adjustments!$C$5:$C$557,'Jul17-Jun18 Retail'!$E21)</f>
        <v>0</v>
      </c>
      <c r="AP21" s="28">
        <f t="shared" ref="AP21:AP26" ca="1" si="62">+W21+AI21+(AG21*N21)</f>
        <v>1600</v>
      </c>
      <c r="AQ21" s="28">
        <f t="shared" ref="AQ21:AQ26" ca="1" si="63">+Y21+AJ21</f>
        <v>0</v>
      </c>
      <c r="AR21" s="28">
        <f t="shared" ref="AR21:AR26" ca="1" si="64">+Z21+AK21</f>
        <v>7873.6554450979229</v>
      </c>
      <c r="AS21" s="28">
        <f t="shared" ref="AS21:AS26" ca="1" si="65">+AA21+AL21</f>
        <v>0</v>
      </c>
      <c r="AT21" s="35">
        <f t="shared" ref="AT21:AT26" si="66">BD21</f>
        <v>38690.215673115148</v>
      </c>
      <c r="AU21" s="35">
        <f t="shared" ref="AU21:AU26" si="67">BC21</f>
        <v>1160.861000725781</v>
      </c>
      <c r="AV21" s="35"/>
      <c r="AW21" s="35">
        <f t="shared" ref="AW21:AW26" si="68">BJ21</f>
        <v>14178.886083035088</v>
      </c>
      <c r="AX21" s="28">
        <f t="shared" ref="AX21:AX26" ca="1" si="69">+AE21+AO21</f>
        <v>0</v>
      </c>
      <c r="AY21" s="28"/>
      <c r="AZ21" s="35">
        <f t="shared" ref="AZ21:AZ26" ca="1" si="70">ROUND(SUM(AP21:AY21),2)</f>
        <v>63503.62</v>
      </c>
      <c r="BA21" s="35">
        <f>SUM(BC21:BJ21)-BF21</f>
        <v>63503.618201940895</v>
      </c>
      <c r="BB21" s="36">
        <f t="shared" ref="BB21:BB26" ca="1" si="71">IF(BA21=0,0,ROUND(BA21/AZ21,6))</f>
        <v>1</v>
      </c>
      <c r="BC21" s="35">
        <f>SUMIFS('Fin Forecast'!$M$3:$M$600,'Fin Forecast'!$B$3:$B$600,'Jul17-Jun18 Retail'!$E21,'Fin Forecast'!$C$3:$C$600,'Jul17-Jun18 Retail'!$BC$5)*1000</f>
        <v>1160.861000725781</v>
      </c>
      <c r="BD21" s="35">
        <f>SUMIFS('Fin Forecast'!$M$3:$M$600,'Fin Forecast'!$B$3:$B$600,'Jul17-Jun18 Retail'!$E21,'Fin Forecast'!$C$3:$C$600,'Jul17-Jun18 Retail'!$BD$5)*1000</f>
        <v>38690.215673115148</v>
      </c>
      <c r="BE21" s="35"/>
      <c r="BF21" s="35"/>
      <c r="BG21" s="35">
        <f>SUMIFS('Fin Forecast'!$M$3:$M$600,'Fin Forecast'!$B$3:$B$600,'Jul17-Jun18 Retail'!$E21,'Fin Forecast'!$C$3:$C$600,'Jul17-Jun18 Retail'!$BG$5)*1000</f>
        <v>1600</v>
      </c>
      <c r="BH21" s="35">
        <f>SUMIFS('Fin Forecast'!$M$3:$M$600,'Fin Forecast'!$B$3:$B$600,'Jul17-Jun18 Retail'!$E21,'Fin Forecast'!$C$3:$C$600,'Jul17-Jun18 Retail'!$BH$5)*1000</f>
        <v>7873.6554450648791</v>
      </c>
      <c r="BI21" s="35">
        <f>SUMIFS('Fin Forecast'!$M$3:$M$600,'Fin Forecast'!$B$3:$B$600,'Jul17-Jun18 Retail'!$E21,'Fin Forecast'!$C$3:$C$600,'Jul17-Jun18 Retail'!$BI$5)*1000</f>
        <v>0</v>
      </c>
      <c r="BJ21" s="35">
        <f>SUMIFS('Fin Forecast'!$M$3:$M$600,'Fin Forecast'!$B$3:$B$600,'Jul17-Jun18 Retail'!$E21,'Fin Forecast'!$C$3:$C$600,'Jul17-Jun18 Retail'!$BJ$5)*1000</f>
        <v>14178.886083035088</v>
      </c>
      <c r="BL21" s="44">
        <f t="shared" ref="BL21:BL26" ca="1" si="72">+AZ21-BA21</f>
        <v>1.7980591073865071E-3</v>
      </c>
      <c r="BN21" s="49">
        <f t="shared" ref="BN21:BN26" ca="1" si="73">+AP21+AQ21-BG21</f>
        <v>0</v>
      </c>
      <c r="BO21" s="49">
        <f t="shared" ref="BO21:BO26" ca="1" si="74">+AR21+AS21-BH21</f>
        <v>3.3043761504814029E-8</v>
      </c>
      <c r="BP21" s="49">
        <f t="shared" ref="BP21:BP26" si="75">+AT21-BD21</f>
        <v>0</v>
      </c>
    </row>
    <row r="22" spans="1:68" ht="15" customHeight="1" x14ac:dyDescent="0.25">
      <c r="C22" s="6">
        <f>C21+1</f>
        <v>14</v>
      </c>
      <c r="D22" s="361">
        <f>$D$21</f>
        <v>42979</v>
      </c>
      <c r="E22" s="361" t="str">
        <f>+'Retail Rates'!$B$10</f>
        <v>LGING866</v>
      </c>
      <c r="F22" s="6" t="str">
        <f t="shared" ref="F22:F26" si="76">MID(E22,6,3)</f>
        <v>866</v>
      </c>
      <c r="G22" s="6" t="str">
        <f>VLOOKUP(E22,'Retail Rates'!$B$7:$D$34,3,FALSE)</f>
        <v>AAGS-I</v>
      </c>
      <c r="H22" s="25">
        <f>SUMIF('Forcasted Customer Cts'!$D$5:$D$36,'Jul17-Jun18 Retail'!$E22,'Forcasted Customer Cts'!$R$5:$R$36)</f>
        <v>0</v>
      </c>
      <c r="I22" s="25"/>
      <c r="J22" s="25"/>
      <c r="K22" s="25">
        <f>SUMIF('Forecasted Calendar Month Usage'!$D$5:$D$41,'Jul17-Jun18 Retail'!$E22,'Forecasted Calendar Month Usage'!$Z$5:$Z$41)*10</f>
        <v>0</v>
      </c>
      <c r="L22" s="25"/>
      <c r="M22" s="25"/>
      <c r="N22" s="26">
        <f>VLOOKUP($E22,'Retail Rates'!$B$7:$L$34,5,FALSE)</f>
        <v>400</v>
      </c>
      <c r="O22" s="26">
        <f>VLOOKUP($E22,'Retail Rates'!$B$7:$L$34,6,FALSE)</f>
        <v>0</v>
      </c>
      <c r="P22" s="27">
        <f>VLOOKUP($E22,'Retail Rates'!$B$7:$L$34,7,FALSE)</f>
        <v>7.009E-2</v>
      </c>
      <c r="Q22" s="27">
        <f>VLOOKUP($E22,'Retail Rates'!$B$7:$L$34,8,FALSE)</f>
        <v>0</v>
      </c>
      <c r="R22" s="27"/>
      <c r="S22" s="26">
        <f>VLOOKUP($E22,'Retail Rates'!$B$7:$L$34,9,FALSE)</f>
        <v>0</v>
      </c>
      <c r="T22" s="27">
        <f>VLOOKUP($E22,'Retail Rates'!$B$7:$L$34,10,FALSE)</f>
        <v>0</v>
      </c>
      <c r="U22" s="26">
        <f>VLOOKUP($E22,'Retail Rates'!$B$7:$L$34,11,FALSE)</f>
        <v>0</v>
      </c>
      <c r="V22" s="309"/>
      <c r="W22" s="28">
        <f t="shared" si="57"/>
        <v>0</v>
      </c>
      <c r="X22" s="28"/>
      <c r="Y22" s="28"/>
      <c r="Z22" s="28">
        <f t="shared" si="58"/>
        <v>0</v>
      </c>
      <c r="AA22" s="28">
        <f t="shared" si="59"/>
        <v>0</v>
      </c>
      <c r="AB22" s="28">
        <f t="shared" si="60"/>
        <v>0</v>
      </c>
      <c r="AC22" s="28"/>
      <c r="AD22" s="28"/>
      <c r="AE22" s="28">
        <f t="shared" ref="AE22:AE26" si="77">M22*U22</f>
        <v>0</v>
      </c>
      <c r="AF22" s="28">
        <f t="shared" si="61"/>
        <v>0</v>
      </c>
      <c r="AG22" s="48">
        <f ca="1">SUMIFS(Adjustments!H$5:H$557,Adjustments!$B$5:$B$557,'Jul17-Jun18 Retail'!$D22,Adjustments!$C$5:$C$557,'Jul17-Jun18 Retail'!$E22)</f>
        <v>0</v>
      </c>
      <c r="AH22" s="48">
        <f ca="1">SUMIFS(Adjustments!I$5:I$557,Adjustments!$B$5:$B$557,'Jul17-Jun18 Retail'!$D22,Adjustments!$C$5:$C$557,'Jul17-Jun18 Retail'!$E22)</f>
        <v>0</v>
      </c>
      <c r="AI22" s="40">
        <f ca="1">SUMIFS(Adjustments!J$5:J$557,Adjustments!$B$5:$B$557,'Jul17-Jun18 Retail'!$D22,Adjustments!$C$5:$C$557,'Jul17-Jun18 Retail'!$E22)</f>
        <v>0</v>
      </c>
      <c r="AJ22" s="40">
        <f ca="1">SUMIFS(Adjustments!K$5:K$557,Adjustments!$B$5:$B$557,'Jul17-Jun18 Retail'!$D22,Adjustments!$C$5:$C$557,'Jul17-Jun18 Retail'!$E22)</f>
        <v>0</v>
      </c>
      <c r="AK22" s="40">
        <f ca="1">SUMIFS(Adjustments!L$5:L$557,Adjustments!$B$5:$B$557,'Jul17-Jun18 Retail'!$D22,Adjustments!$C$5:$C$557,'Jul17-Jun18 Retail'!$E22)</f>
        <v>0</v>
      </c>
      <c r="AL22" s="40">
        <f ca="1">SUMIFS(Adjustments!M$5:M$557,Adjustments!$B$5:$B$557,'Jul17-Jun18 Retail'!$D22,Adjustments!$C$5:$C$557,'Jul17-Jun18 Retail'!$E22)</f>
        <v>0</v>
      </c>
      <c r="AM22" s="40">
        <f ca="1">SUMIFS(Adjustments!N$5:N$557,Adjustments!$B$5:$B$557,'Jul17-Jun18 Retail'!$D22,Adjustments!$C$5:$C$557,'Jul17-Jun18 Retail'!$E22)</f>
        <v>0</v>
      </c>
      <c r="AN22" s="40">
        <f ca="1">SUMIFS(Adjustments!O$5:O$557,Adjustments!$B$5:$B$557,'Jul17-Jun18 Retail'!$D22,Adjustments!$C$5:$C$557,'Jul17-Jun18 Retail'!$E22)</f>
        <v>0</v>
      </c>
      <c r="AO22" s="40">
        <f ca="1">SUMIFS(Adjustments!P$5:P$557,Adjustments!$B$5:$B$557,'Jul17-Jun18 Retail'!$D22,Adjustments!$C$5:$C$557,'Jul17-Jun18 Retail'!$E22)</f>
        <v>0</v>
      </c>
      <c r="AP22" s="28">
        <f t="shared" ca="1" si="62"/>
        <v>0</v>
      </c>
      <c r="AQ22" s="28">
        <f t="shared" ca="1" si="63"/>
        <v>0</v>
      </c>
      <c r="AR22" s="28">
        <f t="shared" ca="1" si="64"/>
        <v>0</v>
      </c>
      <c r="AS22" s="28">
        <f t="shared" ca="1" si="65"/>
        <v>0</v>
      </c>
      <c r="AT22" s="35">
        <f t="shared" si="66"/>
        <v>0</v>
      </c>
      <c r="AU22" s="35">
        <f t="shared" si="67"/>
        <v>0</v>
      </c>
      <c r="AV22" s="35"/>
      <c r="AW22" s="35">
        <f t="shared" si="68"/>
        <v>0</v>
      </c>
      <c r="AX22" s="28">
        <f t="shared" ca="1" si="69"/>
        <v>0</v>
      </c>
      <c r="AY22" s="28"/>
      <c r="AZ22" s="35">
        <f t="shared" ca="1" si="70"/>
        <v>0</v>
      </c>
      <c r="BA22" s="35">
        <f t="shared" ref="BA22:BA26" si="78">SUM(BC22:BJ22)-BF22</f>
        <v>0</v>
      </c>
      <c r="BB22" s="36">
        <f t="shared" si="71"/>
        <v>0</v>
      </c>
      <c r="BC22" s="35">
        <f>SUMIFS('Fin Forecast'!$M$3:$M$600,'Fin Forecast'!$B$3:$B$600,'Jul17-Jun18 Retail'!$E22,'Fin Forecast'!$C$3:$C$600,'Jul17-Jun18 Retail'!$BC$5)*1000</f>
        <v>0</v>
      </c>
      <c r="BD22" s="35">
        <f>SUMIFS('Fin Forecast'!$M$3:$M$600,'Fin Forecast'!$B$3:$B$600,'Jul17-Jun18 Retail'!$E22,'Fin Forecast'!$C$3:$C$600,'Jul17-Jun18 Retail'!$BD$5)*1000</f>
        <v>0</v>
      </c>
      <c r="BE22" s="35"/>
      <c r="BF22" s="35"/>
      <c r="BG22" s="35">
        <f>SUMIFS('Fin Forecast'!$M$3:$M$600,'Fin Forecast'!$B$3:$B$600,'Jul17-Jun18 Retail'!$E22,'Fin Forecast'!$C$3:$C$600,'Jul17-Jun18 Retail'!$BG$5)*1000</f>
        <v>0</v>
      </c>
      <c r="BH22" s="35">
        <f>SUMIFS('Fin Forecast'!$M$3:$M$600,'Fin Forecast'!$B$3:$B$600,'Jul17-Jun18 Retail'!$E22,'Fin Forecast'!$C$3:$C$600,'Jul17-Jun18 Retail'!$BH$5)*1000</f>
        <v>0</v>
      </c>
      <c r="BI22" s="35">
        <f>SUMIFS('Fin Forecast'!$M$3:$M$600,'Fin Forecast'!$B$3:$B$600,'Jul17-Jun18 Retail'!$E22,'Fin Forecast'!$C$3:$C$600,'Jul17-Jun18 Retail'!$BI$5)*1000</f>
        <v>0</v>
      </c>
      <c r="BJ22" s="35">
        <f>SUMIFS('Fin Forecast'!$M$3:$M$600,'Fin Forecast'!$B$3:$B$600,'Jul17-Jun18 Retail'!$E22,'Fin Forecast'!$C$3:$C$600,'Jul17-Jun18 Retail'!$BJ$5)*1000</f>
        <v>0</v>
      </c>
      <c r="BL22" s="44">
        <f t="shared" ca="1" si="72"/>
        <v>0</v>
      </c>
      <c r="BN22" s="49">
        <f t="shared" ca="1" si="73"/>
        <v>0</v>
      </c>
      <c r="BO22" s="49">
        <f t="shared" ca="1" si="74"/>
        <v>0</v>
      </c>
      <c r="BP22" s="49">
        <f t="shared" si="75"/>
        <v>0</v>
      </c>
    </row>
    <row r="23" spans="1:68" ht="15" x14ac:dyDescent="0.25">
      <c r="A23" s="304" t="s">
        <v>443</v>
      </c>
      <c r="B23" s="304" t="s">
        <v>444</v>
      </c>
      <c r="C23" s="6">
        <f>C22+1</f>
        <v>15</v>
      </c>
      <c r="D23" s="361">
        <f t="shared" ref="D23:D26" si="79">$D$21</f>
        <v>42979</v>
      </c>
      <c r="E23" s="361" t="str">
        <f>+'Retail Rates'!$B$15</f>
        <v>LGCMG851</v>
      </c>
      <c r="F23" s="6" t="str">
        <f t="shared" si="76"/>
        <v>851</v>
      </c>
      <c r="G23" s="6" t="str">
        <f>VLOOKUP(E23,'Retail Rates'!$B$7:$D$34,3,FALSE)</f>
        <v>CGS</v>
      </c>
      <c r="H23" s="25"/>
      <c r="I23" s="25">
        <f>SUMIFS('Forcasted Customer Cts'!$R$5:$R$36,'Forcasted Customer Cts'!$D$5:$D$36,'Jul17-Jun18 Retail'!$E23,'Forcasted Customer Cts'!$C$5:$C$36,'Jul17-Jun18 Retail'!$A$9)</f>
        <v>23704</v>
      </c>
      <c r="J23" s="25">
        <f>SUMIFS('Forcasted Customer Cts'!$R$5:$R$36,'Forcasted Customer Cts'!$D$5:$D$36,'Jul17-Jun18 Retail'!$E23,'Forcasted Customer Cts'!$C$5:$C$36,'Jul17-Jun18 Retail'!$B$9)</f>
        <v>987</v>
      </c>
      <c r="K23" s="25">
        <f>SUMIFS('Forecasted Calendar Month Usage'!$Z$5:$Z$41,'Forecasted Calendar Month Usage'!$D$5:$D$41,'Jul17-Jun18 Retail'!$E23,'Forecasted Calendar Month Usage'!$C$5:$C$41,'Jul17-Jun18 Retail'!$A$11)*10</f>
        <v>2961329.813707374</v>
      </c>
      <c r="L23" s="25">
        <f>SUMIFS('Forecasted Calendar Month Usage'!$Z$5:$Z$41,'Forecasted Calendar Month Usage'!$D$5:$D$41,'Jul17-Jun18 Retail'!$E23,'Forecasted Calendar Month Usage'!$C$5:$C$41,'Jul17-Jun18 Retail'!$B$11)*10</f>
        <v>91564.700389515478</v>
      </c>
      <c r="M23" s="25"/>
      <c r="N23" s="26">
        <f>VLOOKUP($E23,'Retail Rates'!$B$7:$L$34,5,FALSE)</f>
        <v>40</v>
      </c>
      <c r="O23" s="26">
        <f>VLOOKUP($E23,'Retail Rates'!$B$7:$L$34,6,FALSE)</f>
        <v>180</v>
      </c>
      <c r="P23" s="27">
        <f>VLOOKUP($E23,'Retail Rates'!$B$7:$L$34,7,FALSE)</f>
        <v>0.21504000000000001</v>
      </c>
      <c r="Q23" s="27">
        <f>VLOOKUP($E23,'Retail Rates'!$B$7:$L$34,8,FALSE)</f>
        <v>0.16504000000000002</v>
      </c>
      <c r="R23" s="27"/>
      <c r="S23" s="26">
        <f>VLOOKUP($E23,'Retail Rates'!$B$7:$L$34,9,FALSE)</f>
        <v>0</v>
      </c>
      <c r="T23" s="27">
        <f>VLOOKUP($E23,'Retail Rates'!$B$7:$L$34,10,FALSE)</f>
        <v>0</v>
      </c>
      <c r="U23" s="26">
        <f>VLOOKUP($E23,'Retail Rates'!$B$7:$L$34,11,FALSE)</f>
        <v>0</v>
      </c>
      <c r="V23" s="309"/>
      <c r="W23" s="28">
        <f t="shared" si="57"/>
        <v>948160</v>
      </c>
      <c r="X23" s="28"/>
      <c r="Y23" s="28">
        <f>+J23*O23</f>
        <v>177660</v>
      </c>
      <c r="Z23" s="28">
        <f t="shared" si="58"/>
        <v>636804.36313963379</v>
      </c>
      <c r="AA23" s="28">
        <f t="shared" si="59"/>
        <v>15111.838152285636</v>
      </c>
      <c r="AB23" s="28">
        <f t="shared" si="60"/>
        <v>0</v>
      </c>
      <c r="AC23" s="28"/>
      <c r="AD23" s="28"/>
      <c r="AE23" s="28">
        <f t="shared" si="77"/>
        <v>0</v>
      </c>
      <c r="AF23" s="28">
        <f t="shared" si="61"/>
        <v>0</v>
      </c>
      <c r="AG23" s="48">
        <f ca="1">SUMIFS(Adjustments!H$5:H$557,Adjustments!$B$5:$B$557,'Jul17-Jun18 Retail'!$D23,Adjustments!$C$5:$C$557,'Jul17-Jun18 Retail'!$E23)</f>
        <v>0</v>
      </c>
      <c r="AH23" s="48">
        <f ca="1">SUMIFS(Adjustments!I$5:I$557,Adjustments!$B$5:$B$557,'Jul17-Jun18 Retail'!$D23,Adjustments!$C$5:$C$557,'Jul17-Jun18 Retail'!$E23)</f>
        <v>0</v>
      </c>
      <c r="AI23" s="40">
        <f ca="1">SUMIFS(Adjustments!J$5:J$557,Adjustments!$B$5:$B$557,'Jul17-Jun18 Retail'!$D23,Adjustments!$C$5:$C$557,'Jul17-Jun18 Retail'!$E23)</f>
        <v>0</v>
      </c>
      <c r="AJ23" s="40">
        <f ca="1">SUMIFS(Adjustments!K$5:K$557,Adjustments!$B$5:$B$557,'Jul17-Jun18 Retail'!$D23,Adjustments!$C$5:$C$557,'Jul17-Jun18 Retail'!$E23)</f>
        <v>0</v>
      </c>
      <c r="AK23" s="40">
        <f ca="1">SUMIFS(Adjustments!L$5:L$557,Adjustments!$B$5:$B$557,'Jul17-Jun18 Retail'!$D23,Adjustments!$C$5:$C$557,'Jul17-Jun18 Retail'!$E23)</f>
        <v>0</v>
      </c>
      <c r="AL23" s="40">
        <f ca="1">SUMIFS(Adjustments!M$5:M$557,Adjustments!$B$5:$B$557,'Jul17-Jun18 Retail'!$D23,Adjustments!$C$5:$C$557,'Jul17-Jun18 Retail'!$E23)</f>
        <v>0</v>
      </c>
      <c r="AM23" s="40">
        <f ca="1">SUMIFS(Adjustments!N$5:N$557,Adjustments!$B$5:$B$557,'Jul17-Jun18 Retail'!$D23,Adjustments!$C$5:$C$557,'Jul17-Jun18 Retail'!$E23)</f>
        <v>0</v>
      </c>
      <c r="AN23" s="40">
        <f ca="1">SUMIFS(Adjustments!O$5:O$557,Adjustments!$B$5:$B$557,'Jul17-Jun18 Retail'!$D23,Adjustments!$C$5:$C$557,'Jul17-Jun18 Retail'!$E23)</f>
        <v>0</v>
      </c>
      <c r="AO23" s="40">
        <f ca="1">SUMIFS(Adjustments!P$5:P$557,Adjustments!$B$5:$B$557,'Jul17-Jun18 Retail'!$D23,Adjustments!$C$5:$C$557,'Jul17-Jun18 Retail'!$E23)</f>
        <v>0</v>
      </c>
      <c r="AP23" s="28">
        <f t="shared" ca="1" si="62"/>
        <v>948160</v>
      </c>
      <c r="AQ23" s="28">
        <f t="shared" ca="1" si="63"/>
        <v>177660</v>
      </c>
      <c r="AR23" s="28">
        <f t="shared" ca="1" si="64"/>
        <v>636804.36313963379</v>
      </c>
      <c r="AS23" s="28">
        <f t="shared" ca="1" si="65"/>
        <v>15111.838152285636</v>
      </c>
      <c r="AT23" s="35">
        <f t="shared" si="66"/>
        <v>1051459.6305720389</v>
      </c>
      <c r="AU23" s="35">
        <f t="shared" si="67"/>
        <v>82878.613312873509</v>
      </c>
      <c r="AV23" s="35"/>
      <c r="AW23" s="35">
        <f t="shared" si="68"/>
        <v>780601.02528693189</v>
      </c>
      <c r="AX23" s="28">
        <f t="shared" ca="1" si="69"/>
        <v>0</v>
      </c>
      <c r="AY23" s="28"/>
      <c r="AZ23" s="35">
        <f t="shared" ca="1" si="70"/>
        <v>3692675.47</v>
      </c>
      <c r="BA23" s="35">
        <f t="shared" si="78"/>
        <v>3692675.470450731</v>
      </c>
      <c r="BB23" s="36">
        <f t="shared" ca="1" si="71"/>
        <v>1</v>
      </c>
      <c r="BC23" s="35">
        <f>SUMIFS('Fin Forecast'!$M$3:$M$600,'Fin Forecast'!$B$3:$B$600,'Jul17-Jun18 Retail'!$E23,'Fin Forecast'!$C$3:$C$600,'Jul17-Jun18 Retail'!$BC$5)*1000</f>
        <v>82878.613312873509</v>
      </c>
      <c r="BD23" s="35">
        <f>SUMIFS('Fin Forecast'!$M$3:$M$600,'Fin Forecast'!$B$3:$B$600,'Jul17-Jun18 Retail'!$E23,'Fin Forecast'!$C$3:$C$600,'Jul17-Jun18 Retail'!$BD$5)*1000</f>
        <v>1051459.6305720389</v>
      </c>
      <c r="BE23" s="35"/>
      <c r="BF23" s="35"/>
      <c r="BG23" s="35">
        <f>SUMIFS('Fin Forecast'!$M$3:$M$600,'Fin Forecast'!$B$3:$B$600,'Jul17-Jun18 Retail'!$E23,'Fin Forecast'!$C$3:$C$600,'Jul17-Jun18 Retail'!$BG$5)*1000</f>
        <v>1125820.0000000002</v>
      </c>
      <c r="BH23" s="35">
        <f>SUMIFS('Fin Forecast'!$M$3:$M$600,'Fin Forecast'!$B$3:$B$600,'Jul17-Jun18 Retail'!$E23,'Fin Forecast'!$C$3:$C$600,'Jul17-Jun18 Retail'!$BH$5)*1000</f>
        <v>651916.20127888641</v>
      </c>
      <c r="BI23" s="35">
        <f>SUMIFS('Fin Forecast'!$M$3:$M$600,'Fin Forecast'!$B$3:$B$600,'Jul17-Jun18 Retail'!$E23,'Fin Forecast'!$C$3:$C$600,'Jul17-Jun18 Retail'!$BI$5)*1000</f>
        <v>0</v>
      </c>
      <c r="BJ23" s="35">
        <f>SUMIFS('Fin Forecast'!$M$3:$M$600,'Fin Forecast'!$B$3:$B$600,'Jul17-Jun18 Retail'!$E23,'Fin Forecast'!$C$3:$C$600,'Jul17-Jun18 Retail'!$BJ$5)*1000</f>
        <v>780601.02528693189</v>
      </c>
      <c r="BL23" s="44">
        <f t="shared" ca="1" si="72"/>
        <v>-4.5073078945279121E-4</v>
      </c>
      <c r="BN23" s="49">
        <f t="shared" ca="1" si="73"/>
        <v>0</v>
      </c>
      <c r="BO23" s="49">
        <f t="shared" ca="1" si="74"/>
        <v>1.3033044524490833E-5</v>
      </c>
      <c r="BP23" s="49">
        <f t="shared" si="75"/>
        <v>0</v>
      </c>
    </row>
    <row r="24" spans="1:68" ht="15" customHeight="1" x14ac:dyDescent="0.25">
      <c r="A24" s="304"/>
      <c r="B24" s="304"/>
      <c r="C24" s="6">
        <f t="shared" ref="C24:C26" si="80">C23+1</f>
        <v>16</v>
      </c>
      <c r="D24" s="361">
        <f t="shared" si="79"/>
        <v>42979</v>
      </c>
      <c r="E24" s="361" t="str">
        <f>+'Retail Rates'!$B$20</f>
        <v>LGCMG875</v>
      </c>
      <c r="F24" s="6" t="str">
        <f t="shared" si="76"/>
        <v>875</v>
      </c>
      <c r="G24" s="6" t="str">
        <f>VLOOKUP(E24,'Retail Rates'!$B$7:$D$34,3,FALSE)</f>
        <v>DGGS-C</v>
      </c>
      <c r="H24" s="25">
        <v>1</v>
      </c>
      <c r="I24" s="25"/>
      <c r="J24" s="25"/>
      <c r="K24" s="25">
        <v>6</v>
      </c>
      <c r="L24" s="25"/>
      <c r="M24" s="25">
        <v>483</v>
      </c>
      <c r="N24" s="26">
        <f>VLOOKUP($E24,'Retail Rates'!$B$7:$L$34,5,FALSE)</f>
        <v>40</v>
      </c>
      <c r="O24" s="26">
        <f>VLOOKUP($E24,'Retail Rates'!$B$7:$L$34,6,FALSE)</f>
        <v>180</v>
      </c>
      <c r="P24" s="27">
        <f>VLOOKUP($E24,'Retail Rates'!$B$7:$L$34,7,FALSE)</f>
        <v>3.329E-2</v>
      </c>
      <c r="Q24" s="27">
        <f>VLOOKUP($E24,'Retail Rates'!$B$7:$L$34,8,FALSE)</f>
        <v>0</v>
      </c>
      <c r="R24" s="27"/>
      <c r="S24" s="26">
        <f>VLOOKUP($E24,'Retail Rates'!$B$7:$L$34,9,FALSE)</f>
        <v>0</v>
      </c>
      <c r="T24" s="27">
        <f>VLOOKUP($E24,'Retail Rates'!$B$7:$L$34,10,FALSE)</f>
        <v>0</v>
      </c>
      <c r="U24" s="403">
        <f>VLOOKUP($E24,'Retail Rates'!$B$7:$L$34,11,FALSE)</f>
        <v>1.1263000000000001</v>
      </c>
      <c r="V24" s="309"/>
      <c r="W24" s="28">
        <f t="shared" si="57"/>
        <v>40</v>
      </c>
      <c r="X24" s="28"/>
      <c r="Y24" s="28"/>
      <c r="Z24" s="28">
        <f t="shared" si="58"/>
        <v>0.19974</v>
      </c>
      <c r="AA24" s="28">
        <f t="shared" si="59"/>
        <v>0</v>
      </c>
      <c r="AB24" s="28">
        <f t="shared" si="60"/>
        <v>0</v>
      </c>
      <c r="AC24" s="28"/>
      <c r="AD24" s="28"/>
      <c r="AE24" s="28">
        <f t="shared" si="77"/>
        <v>544.00290000000007</v>
      </c>
      <c r="AF24" s="28">
        <f t="shared" si="61"/>
        <v>0</v>
      </c>
      <c r="AG24" s="48">
        <f ca="1">SUMIFS(Adjustments!H$5:H$557,Adjustments!$B$5:$B$557,'Jul17-Jun18 Retail'!$D24,Adjustments!$C$5:$C$557,'Jul17-Jun18 Retail'!$E24)</f>
        <v>0</v>
      </c>
      <c r="AH24" s="48">
        <f ca="1">SUMIFS(Adjustments!I$5:I$557,Adjustments!$B$5:$B$557,'Jul17-Jun18 Retail'!$D24,Adjustments!$C$5:$C$557,'Jul17-Jun18 Retail'!$E24)</f>
        <v>0</v>
      </c>
      <c r="AI24" s="40">
        <f ca="1">SUMIFS(Adjustments!J$5:J$557,Adjustments!$B$5:$B$557,'Jul17-Jun18 Retail'!$D24,Adjustments!$C$5:$C$557,'Jul17-Jun18 Retail'!$E24)</f>
        <v>0</v>
      </c>
      <c r="AJ24" s="40">
        <f ca="1">SUMIFS(Adjustments!K$5:K$557,Adjustments!$B$5:$B$557,'Jul17-Jun18 Retail'!$D24,Adjustments!$C$5:$C$557,'Jul17-Jun18 Retail'!$E24)</f>
        <v>0</v>
      </c>
      <c r="AK24" s="40">
        <f ca="1">SUMIFS(Adjustments!L$5:L$557,Adjustments!$B$5:$B$557,'Jul17-Jun18 Retail'!$D24,Adjustments!$C$5:$C$557,'Jul17-Jun18 Retail'!$E24)</f>
        <v>0</v>
      </c>
      <c r="AL24" s="40">
        <f ca="1">SUMIFS(Adjustments!M$5:M$557,Adjustments!$B$5:$B$557,'Jul17-Jun18 Retail'!$D24,Adjustments!$C$5:$C$557,'Jul17-Jun18 Retail'!$E24)</f>
        <v>0</v>
      </c>
      <c r="AM24" s="40">
        <f ca="1">SUMIFS(Adjustments!N$5:N$557,Adjustments!$B$5:$B$557,'Jul17-Jun18 Retail'!$D24,Adjustments!$C$5:$C$557,'Jul17-Jun18 Retail'!$E24)</f>
        <v>0</v>
      </c>
      <c r="AN24" s="40">
        <f ca="1">SUMIFS(Adjustments!O$5:O$557,Adjustments!$B$5:$B$557,'Jul17-Jun18 Retail'!$D24,Adjustments!$C$5:$C$557,'Jul17-Jun18 Retail'!$E24)</f>
        <v>0</v>
      </c>
      <c r="AO24" s="40">
        <f ca="1">SUMIFS(Adjustments!P$5:P$557,Adjustments!$B$5:$B$557,'Jul17-Jun18 Retail'!$D24,Adjustments!$C$5:$C$557,'Jul17-Jun18 Retail'!$E24)</f>
        <v>0</v>
      </c>
      <c r="AP24" s="28">
        <f t="shared" ca="1" si="62"/>
        <v>40</v>
      </c>
      <c r="AQ24" s="28">
        <f t="shared" ca="1" si="63"/>
        <v>0</v>
      </c>
      <c r="AR24" s="28">
        <f t="shared" ca="1" si="64"/>
        <v>0.19974</v>
      </c>
      <c r="AS24" s="28">
        <f t="shared" ca="1" si="65"/>
        <v>0</v>
      </c>
      <c r="AT24" s="35">
        <f t="shared" si="66"/>
        <v>2.0664840381566503</v>
      </c>
      <c r="AU24" s="35">
        <f t="shared" si="67"/>
        <v>0.16288531345937998</v>
      </c>
      <c r="AV24" s="35"/>
      <c r="AW24" s="35">
        <f t="shared" si="68"/>
        <v>0</v>
      </c>
      <c r="AX24" s="28">
        <f t="shared" ca="1" si="69"/>
        <v>544.00290000000007</v>
      </c>
      <c r="AY24" s="28"/>
      <c r="AZ24" s="35">
        <f t="shared" ca="1" si="70"/>
        <v>586.42999999999995</v>
      </c>
      <c r="BA24" s="35">
        <f t="shared" si="78"/>
        <v>586.43200935161599</v>
      </c>
      <c r="BB24" s="36">
        <f t="shared" ca="1" si="71"/>
        <v>1.000003</v>
      </c>
      <c r="BC24" s="35">
        <f>SUMIFS('Fin Forecast'!$M$3:$M$600,'Fin Forecast'!$B$3:$B$600,'Jul17-Jun18 Retail'!$E24,'Fin Forecast'!$C$3:$C$600,'Jul17-Jun18 Retail'!$BC$5)*1000</f>
        <v>0.16288531345937998</v>
      </c>
      <c r="BD24" s="35">
        <f>SUMIFS('Fin Forecast'!$M$3:$M$600,'Fin Forecast'!$B$3:$B$600,'Jul17-Jun18 Retail'!$E24,'Fin Forecast'!$C$3:$C$600,'Jul17-Jun18 Retail'!$BD$5)*1000</f>
        <v>2.0664840381566503</v>
      </c>
      <c r="BE24" s="35"/>
      <c r="BF24" s="35"/>
      <c r="BG24" s="35">
        <f>SUMIFS('Fin Forecast'!$M$3:$M$600,'Fin Forecast'!$B$3:$B$600,'Jul17-Jun18 Retail'!$E24,'Fin Forecast'!$C$3:$C$600,'Jul17-Jun18 Retail'!$BG$5)*1000</f>
        <v>40</v>
      </c>
      <c r="BH24" s="35">
        <f>SUMIFS('Fin Forecast'!$M$3:$M$600,'Fin Forecast'!$B$3:$B$600,'Jul17-Jun18 Retail'!$E24,'Fin Forecast'!$C$3:$C$600,'Jul17-Jun18 Retail'!$BH$5)*1000</f>
        <v>0.199739999999999</v>
      </c>
      <c r="BI24" s="35">
        <f>SUMIFS('Fin Forecast'!$M$3:$M$600,'Fin Forecast'!$B$3:$B$600,'Jul17-Jun18 Retail'!$E24,'Fin Forecast'!$C$3:$C$600,'Jul17-Jun18 Retail'!$BI$5)*1000</f>
        <v>544.00289999999995</v>
      </c>
      <c r="BJ24" s="35">
        <f>SUMIFS('Fin Forecast'!$M$3:$M$600,'Fin Forecast'!$B$3:$B$600,'Jul17-Jun18 Retail'!$E24,'Fin Forecast'!$C$3:$C$600,'Jul17-Jun18 Retail'!$BJ$5)*1000</f>
        <v>0</v>
      </c>
      <c r="BL24" s="44">
        <f t="shared" ca="1" si="72"/>
        <v>-2.0093516160386571E-3</v>
      </c>
      <c r="BN24" s="49">
        <f t="shared" ca="1" si="73"/>
        <v>0</v>
      </c>
      <c r="BO24" s="49">
        <f t="shared" ca="1" si="74"/>
        <v>9.9920072216264089E-16</v>
      </c>
      <c r="BP24" s="49">
        <f t="shared" si="75"/>
        <v>0</v>
      </c>
    </row>
    <row r="25" spans="1:68" ht="15" customHeight="1" x14ac:dyDescent="0.25">
      <c r="A25" s="13" t="s">
        <v>445</v>
      </c>
      <c r="B25" s="13" t="s">
        <v>446</v>
      </c>
      <c r="C25" s="6">
        <f t="shared" si="80"/>
        <v>17</v>
      </c>
      <c r="D25" s="361">
        <f t="shared" si="79"/>
        <v>42979</v>
      </c>
      <c r="E25" s="361" t="str">
        <f>+'Retail Rates'!$B$26</f>
        <v>LGING855</v>
      </c>
      <c r="F25" s="6" t="str">
        <f t="shared" si="76"/>
        <v>855</v>
      </c>
      <c r="G25" s="6" t="s">
        <v>111</v>
      </c>
      <c r="H25" s="25"/>
      <c r="I25" s="25">
        <f>SUMIFS('Forcasted Customer Cts'!$R$5:$R$36,'Forcasted Customer Cts'!$D$5:$D$36,'Jul17-Jun18 Retail'!$E25,'Forcasted Customer Cts'!$C$5:$C$36,'Jul17-Jun18 Retail'!$A$9)</f>
        <v>146</v>
      </c>
      <c r="J25" s="25">
        <f>SUMIFS('Forcasted Customer Cts'!$R$5:$R$36,'Forcasted Customer Cts'!$D$5:$D$36,'Jul17-Jun18 Retail'!$E25,'Forcasted Customer Cts'!$C$5:$C$36,'Jul17-Jun18 Retail'!$B$9)</f>
        <v>114</v>
      </c>
      <c r="K25" s="25">
        <f>SUMIFS('Forecasted Calendar Month Usage'!$Z$5:$Z$41,'Forecasted Calendar Month Usage'!$D$5:$D$41,'Jul17-Jun18 Retail'!$E25,'Forecasted Calendar Month Usage'!$C$5:$C$41,'Jul17-Jun18 Retail'!$A$11)*10</f>
        <v>674921.57854901673</v>
      </c>
      <c r="L25" s="25">
        <f>SUMIFS('Forecasted Calendar Month Usage'!$Z$5:$Z$41,'Forecasted Calendar Month Usage'!$D$5:$D$41,'Jul17-Jun18 Retail'!$E25,'Forecasted Calendar Month Usage'!$C$5:$C$41,'Jul17-Jun18 Retail'!$B$11)*10</f>
        <v>208784.75737260783</v>
      </c>
      <c r="M25" s="25"/>
      <c r="N25" s="26">
        <f>VLOOKUP($E25,'Retail Rates'!$B$7:$L$34,5,FALSE)</f>
        <v>40</v>
      </c>
      <c r="O25" s="26">
        <f>VLOOKUP($E25,'Retail Rates'!$B$7:$L$34,6,FALSE)</f>
        <v>180</v>
      </c>
      <c r="P25" s="27">
        <f>VLOOKUP($E25,'Retail Rates'!$B$7:$L$34,7,FALSE)</f>
        <v>0.22778999999999999</v>
      </c>
      <c r="Q25" s="27">
        <f>VLOOKUP($E25,'Retail Rates'!$B$7:$L$34,8,FALSE)</f>
        <v>0.17779</v>
      </c>
      <c r="R25" s="27"/>
      <c r="S25" s="26">
        <f>VLOOKUP($E25,'Retail Rates'!$B$7:$L$34,9,FALSE)</f>
        <v>0</v>
      </c>
      <c r="T25" s="27">
        <f>VLOOKUP($E25,'Retail Rates'!$B$7:$L$34,10,FALSE)</f>
        <v>0</v>
      </c>
      <c r="U25" s="26">
        <f>VLOOKUP($E25,'Retail Rates'!$B$7:$L$34,11,FALSE)</f>
        <v>0</v>
      </c>
      <c r="V25" s="309"/>
      <c r="W25" s="28">
        <f t="shared" si="57"/>
        <v>5840</v>
      </c>
      <c r="X25" s="28"/>
      <c r="Y25" s="28">
        <f t="shared" ref="Y25:AA25" si="81">+J25*O25</f>
        <v>20520</v>
      </c>
      <c r="Z25" s="28">
        <f t="shared" si="81"/>
        <v>153740.38637768052</v>
      </c>
      <c r="AA25" s="28">
        <f t="shared" si="81"/>
        <v>37119.842013275949</v>
      </c>
      <c r="AB25" s="28">
        <f t="shared" si="60"/>
        <v>0</v>
      </c>
      <c r="AC25" s="28"/>
      <c r="AD25" s="28"/>
      <c r="AE25" s="28">
        <f t="shared" si="77"/>
        <v>0</v>
      </c>
      <c r="AF25" s="28">
        <f>(+I25*V25)+(J25*V25)</f>
        <v>0</v>
      </c>
      <c r="AG25" s="48">
        <f ca="1">SUMIFS(Adjustments!H$5:H$557,Adjustments!$B$5:$B$557,'Jul17-Jun18 Retail'!$D25,Adjustments!$C$5:$C$557,'Jul17-Jun18 Retail'!$E25)</f>
        <v>0</v>
      </c>
      <c r="AH25" s="48">
        <f ca="1">SUMIFS(Adjustments!I$5:I$557,Adjustments!$B$5:$B$557,'Jul17-Jun18 Retail'!$D25,Adjustments!$C$5:$C$557,'Jul17-Jun18 Retail'!$E25)</f>
        <v>0</v>
      </c>
      <c r="AI25" s="40">
        <f ca="1">SUMIFS(Adjustments!J$5:J$557,Adjustments!$B$5:$B$557,'Jul17-Jun18 Retail'!$D25,Adjustments!$C$5:$C$557,'Jul17-Jun18 Retail'!$E25)</f>
        <v>0</v>
      </c>
      <c r="AJ25" s="40">
        <f ca="1">SUMIFS(Adjustments!K$5:K$557,Adjustments!$B$5:$B$557,'Jul17-Jun18 Retail'!$D25,Adjustments!$C$5:$C$557,'Jul17-Jun18 Retail'!$E25)</f>
        <v>0</v>
      </c>
      <c r="AK25" s="40">
        <f ca="1">SUMIFS(Adjustments!L$5:L$557,Adjustments!$B$5:$B$557,'Jul17-Jun18 Retail'!$D25,Adjustments!$C$5:$C$557,'Jul17-Jun18 Retail'!$E25)</f>
        <v>0</v>
      </c>
      <c r="AL25" s="40">
        <f ca="1">SUMIFS(Adjustments!M$5:M$557,Adjustments!$B$5:$B$557,'Jul17-Jun18 Retail'!$D25,Adjustments!$C$5:$C$557,'Jul17-Jun18 Retail'!$E25)</f>
        <v>0</v>
      </c>
      <c r="AM25" s="40">
        <f ca="1">SUMIFS(Adjustments!N$5:N$557,Adjustments!$B$5:$B$557,'Jul17-Jun18 Retail'!$D25,Adjustments!$C$5:$C$557,'Jul17-Jun18 Retail'!$E25)</f>
        <v>0</v>
      </c>
      <c r="AN25" s="40">
        <f ca="1">SUMIFS(Adjustments!O$5:O$557,Adjustments!$B$5:$B$557,'Jul17-Jun18 Retail'!$D25,Adjustments!$C$5:$C$557,'Jul17-Jun18 Retail'!$E25)</f>
        <v>0</v>
      </c>
      <c r="AO25" s="40">
        <f ca="1">SUMIFS(Adjustments!P$5:P$557,Adjustments!$B$5:$B$557,'Jul17-Jun18 Retail'!$D25,Adjustments!$C$5:$C$557,'Jul17-Jun18 Retail'!$E25)</f>
        <v>0</v>
      </c>
      <c r="AP25" s="28">
        <f t="shared" ca="1" si="62"/>
        <v>5840</v>
      </c>
      <c r="AQ25" s="28">
        <f t="shared" ca="1" si="63"/>
        <v>20520</v>
      </c>
      <c r="AR25" s="28">
        <f t="shared" ca="1" si="64"/>
        <v>153740.38637768052</v>
      </c>
      <c r="AS25" s="28">
        <f t="shared" ca="1" si="65"/>
        <v>37119.842013275949</v>
      </c>
      <c r="AT25" s="35">
        <f t="shared" si="66"/>
        <v>304360.83958462032</v>
      </c>
      <c r="AU25" s="35">
        <f t="shared" si="67"/>
        <v>0</v>
      </c>
      <c r="AV25" s="35"/>
      <c r="AW25" s="35">
        <f t="shared" si="68"/>
        <v>68060.127551731726</v>
      </c>
      <c r="AX25" s="28">
        <f t="shared" ca="1" si="69"/>
        <v>0</v>
      </c>
      <c r="AY25" s="28"/>
      <c r="AZ25" s="35">
        <f t="shared" ca="1" si="70"/>
        <v>589641.19999999995</v>
      </c>
      <c r="BA25" s="35">
        <f t="shared" si="78"/>
        <v>589641.19551842357</v>
      </c>
      <c r="BB25" s="36">
        <f t="shared" ca="1" si="71"/>
        <v>1</v>
      </c>
      <c r="BC25" s="35">
        <f>SUMIFS('Fin Forecast'!$M$3:$M$600,'Fin Forecast'!$B$3:$B$600,'Jul17-Jun18 Retail'!$E25,'Fin Forecast'!$C$3:$C$600,'Jul17-Jun18 Retail'!$BC$5)*1000</f>
        <v>0</v>
      </c>
      <c r="BD25" s="35">
        <f>SUMIFS('Fin Forecast'!$M$3:$M$600,'Fin Forecast'!$B$3:$B$600,'Jul17-Jun18 Retail'!$E25,'Fin Forecast'!$C$3:$C$600,'Jul17-Jun18 Retail'!$BD$5)*1000</f>
        <v>304360.83958462032</v>
      </c>
      <c r="BE25" s="35"/>
      <c r="BF25" s="35"/>
      <c r="BG25" s="35">
        <f>SUMIFS('Fin Forecast'!$M$3:$M$600,'Fin Forecast'!$B$3:$B$600,'Jul17-Jun18 Retail'!$E25,'Fin Forecast'!$C$3:$C$600,'Jul17-Jun18 Retail'!$BG$5)*1000</f>
        <v>26360</v>
      </c>
      <c r="BH25" s="35">
        <f>SUMIFS('Fin Forecast'!$M$3:$M$600,'Fin Forecast'!$B$3:$B$600,'Jul17-Jun18 Retail'!$E25,'Fin Forecast'!$C$3:$C$600,'Jul17-Jun18 Retail'!$BH$5)*1000</f>
        <v>190860.22838207154</v>
      </c>
      <c r="BI25" s="35">
        <f>SUMIFS('Fin Forecast'!$M$3:$M$600,'Fin Forecast'!$B$3:$B$600,'Jul17-Jun18 Retail'!$E25,'Fin Forecast'!$C$3:$C$600,'Jul17-Jun18 Retail'!$BI$5)*1000</f>
        <v>0</v>
      </c>
      <c r="BJ25" s="35">
        <f>SUMIFS('Fin Forecast'!$M$3:$M$600,'Fin Forecast'!$B$3:$B$600,'Jul17-Jun18 Retail'!$E25,'Fin Forecast'!$C$3:$C$600,'Jul17-Jun18 Retail'!$BJ$5)*1000</f>
        <v>68060.127551731726</v>
      </c>
      <c r="BL25" s="44">
        <f t="shared" ca="1" si="72"/>
        <v>4.4815763831138611E-3</v>
      </c>
      <c r="BN25" s="49">
        <f t="shared" ca="1" si="73"/>
        <v>0</v>
      </c>
      <c r="BO25" s="49">
        <f t="shared" ca="1" si="74"/>
        <v>8.884933777153492E-6</v>
      </c>
      <c r="BP25" s="49">
        <f t="shared" si="75"/>
        <v>0</v>
      </c>
    </row>
    <row r="26" spans="1:68" ht="15" customHeight="1" x14ac:dyDescent="0.25">
      <c r="C26" s="6">
        <f t="shared" si="80"/>
        <v>18</v>
      </c>
      <c r="D26" s="361">
        <f t="shared" si="79"/>
        <v>42979</v>
      </c>
      <c r="E26" s="361" t="str">
        <f>+'Retail Rates'!$B$31</f>
        <v>LGRSG811</v>
      </c>
      <c r="F26" s="6" t="str">
        <f t="shared" si="76"/>
        <v>811</v>
      </c>
      <c r="G26" s="6" t="str">
        <f>VLOOKUP(E26,'Retail Rates'!$B$7:$D$34,3,FALSE)</f>
        <v>RGS</v>
      </c>
      <c r="H26" s="25">
        <f>SUMIF('Forcasted Customer Cts'!$D$5:$D$36,'Jul17-Jun18 Retail'!$E26,'Forcasted Customer Cts'!$R$5:$R$36)</f>
        <v>295117</v>
      </c>
      <c r="I26" s="25"/>
      <c r="J26" s="25"/>
      <c r="K26" s="25">
        <f>SUMIF('Forecasted Calendar Month Usage'!$D$5:$D$41,'Jul17-Jun18 Retail'!$E26,'Forecasted Calendar Month Usage'!$Z$5:$Z$41)*10</f>
        <v>3579065.1165623795</v>
      </c>
      <c r="L26" s="25"/>
      <c r="M26" s="25"/>
      <c r="N26" s="26">
        <f>VLOOKUP($E26,'Retail Rates'!$B$7:$L$34,5,FALSE)</f>
        <v>13.5</v>
      </c>
      <c r="O26" s="26">
        <f>VLOOKUP($E26,'Retail Rates'!$B$7:$L$34,6,FALSE)</f>
        <v>0</v>
      </c>
      <c r="P26" s="27">
        <f>VLOOKUP($E26,'Retail Rates'!$B$7:$L$34,7,FALSE)</f>
        <v>0.28693000000000002</v>
      </c>
      <c r="Q26" s="27">
        <f>VLOOKUP($E26,'Retail Rates'!$B$7:$L$34,8,FALSE)</f>
        <v>0</v>
      </c>
      <c r="R26" s="27"/>
      <c r="S26" s="26">
        <f>VLOOKUP($E26,'Retail Rates'!$B$7:$L$34,9,FALSE)</f>
        <v>0</v>
      </c>
      <c r="T26" s="27">
        <f>VLOOKUP($E26,'Retail Rates'!$B$7:$L$34,10,FALSE)</f>
        <v>0</v>
      </c>
      <c r="U26" s="26">
        <f>VLOOKUP($E26,'Retail Rates'!$B$7:$L$34,11,FALSE)</f>
        <v>0</v>
      </c>
      <c r="V26" s="309"/>
      <c r="W26" s="28">
        <f t="shared" si="57"/>
        <v>3984079.5</v>
      </c>
      <c r="X26" s="28"/>
      <c r="Y26" s="28"/>
      <c r="Z26" s="28">
        <f t="shared" ref="Z26" si="82">+K26*P26</f>
        <v>1026941.1538952437</v>
      </c>
      <c r="AA26" s="28">
        <f t="shared" ref="AA26" si="83">+L26*Q26</f>
        <v>0</v>
      </c>
      <c r="AB26" s="28">
        <f t="shared" si="60"/>
        <v>0</v>
      </c>
      <c r="AC26" s="28"/>
      <c r="AD26" s="28"/>
      <c r="AE26" s="28">
        <f t="shared" si="77"/>
        <v>0</v>
      </c>
      <c r="AF26" s="28">
        <f t="shared" si="61"/>
        <v>0</v>
      </c>
      <c r="AG26" s="48">
        <f ca="1">SUMIFS(Adjustments!H$5:H$557,Adjustments!$B$5:$B$557,'Jul17-Jun18 Retail'!$D26,Adjustments!$C$5:$C$557,'Jul17-Jun18 Retail'!$E26)</f>
        <v>0</v>
      </c>
      <c r="AH26" s="48">
        <f ca="1">SUMIFS(Adjustments!I$5:I$557,Adjustments!$B$5:$B$557,'Jul17-Jun18 Retail'!$D26,Adjustments!$C$5:$C$557,'Jul17-Jun18 Retail'!$E26)</f>
        <v>0</v>
      </c>
      <c r="AI26" s="40">
        <f ca="1">SUMIFS(Adjustments!J$5:J$557,Adjustments!$B$5:$B$557,'Jul17-Jun18 Retail'!$D26,Adjustments!$C$5:$C$557,'Jul17-Jun18 Retail'!$E26)</f>
        <v>0</v>
      </c>
      <c r="AJ26" s="40">
        <f ca="1">SUMIFS(Adjustments!K$5:K$557,Adjustments!$B$5:$B$557,'Jul17-Jun18 Retail'!$D26,Adjustments!$C$5:$C$557,'Jul17-Jun18 Retail'!$E26)</f>
        <v>0</v>
      </c>
      <c r="AK26" s="40">
        <f ca="1">SUMIFS(Adjustments!L$5:L$557,Adjustments!$B$5:$B$557,'Jul17-Jun18 Retail'!$D26,Adjustments!$C$5:$C$557,'Jul17-Jun18 Retail'!$E26)</f>
        <v>0</v>
      </c>
      <c r="AL26" s="40">
        <f ca="1">SUMIFS(Adjustments!M$5:M$557,Adjustments!$B$5:$B$557,'Jul17-Jun18 Retail'!$D26,Adjustments!$C$5:$C$557,'Jul17-Jun18 Retail'!$E26)</f>
        <v>0</v>
      </c>
      <c r="AM26" s="40">
        <f ca="1">SUMIFS(Adjustments!N$5:N$557,Adjustments!$B$5:$B$557,'Jul17-Jun18 Retail'!$D26,Adjustments!$C$5:$C$557,'Jul17-Jun18 Retail'!$E26)</f>
        <v>0</v>
      </c>
      <c r="AN26" s="40">
        <f ca="1">SUMIFS(Adjustments!O$5:O$557,Adjustments!$B$5:$B$557,'Jul17-Jun18 Retail'!$D26,Adjustments!$C$5:$C$557,'Jul17-Jun18 Retail'!$E26)</f>
        <v>0</v>
      </c>
      <c r="AO26" s="40">
        <f ca="1">SUMIFS(Adjustments!P$5:P$557,Adjustments!$B$5:$B$557,'Jul17-Jun18 Retail'!$D26,Adjustments!$C$5:$C$557,'Jul17-Jun18 Retail'!$E26)</f>
        <v>0</v>
      </c>
      <c r="AP26" s="28">
        <f t="shared" ca="1" si="62"/>
        <v>3984079.5</v>
      </c>
      <c r="AQ26" s="28">
        <f t="shared" ca="1" si="63"/>
        <v>0</v>
      </c>
      <c r="AR26" s="28">
        <f t="shared" ca="1" si="64"/>
        <v>1026941.1538952437</v>
      </c>
      <c r="AS26" s="28">
        <f t="shared" ca="1" si="65"/>
        <v>0</v>
      </c>
      <c r="AT26" s="35">
        <f t="shared" si="66"/>
        <v>1232680.15598634</v>
      </c>
      <c r="AU26" s="35">
        <f t="shared" si="67"/>
        <v>97162.857247180989</v>
      </c>
      <c r="AV26" s="35"/>
      <c r="AW26" s="35">
        <f t="shared" si="68"/>
        <v>1819804.3182189101</v>
      </c>
      <c r="AX26" s="28">
        <f t="shared" ca="1" si="69"/>
        <v>0</v>
      </c>
      <c r="AY26" s="28"/>
      <c r="AZ26" s="35">
        <f t="shared" ca="1" si="70"/>
        <v>8160667.9900000002</v>
      </c>
      <c r="BA26" s="35">
        <f t="shared" si="78"/>
        <v>8160667.9854891011</v>
      </c>
      <c r="BB26" s="36">
        <f t="shared" ca="1" si="71"/>
        <v>1</v>
      </c>
      <c r="BC26" s="35">
        <f>SUMIFS('Fin Forecast'!$M$3:$M$600,'Fin Forecast'!$B$3:$B$600,'Jul17-Jun18 Retail'!$E26,'Fin Forecast'!$C$3:$C$600,'Jul17-Jun18 Retail'!$BC$5)*1000</f>
        <v>97162.857247180989</v>
      </c>
      <c r="BD26" s="35">
        <f>SUMIFS('Fin Forecast'!$M$3:$M$600,'Fin Forecast'!$B$3:$B$600,'Jul17-Jun18 Retail'!$E26,'Fin Forecast'!$C$3:$C$600,'Jul17-Jun18 Retail'!$BD$5)*1000</f>
        <v>1232680.15598634</v>
      </c>
      <c r="BE26" s="35"/>
      <c r="BF26" s="35"/>
      <c r="BG26" s="35">
        <f>SUMIFS('Fin Forecast'!$M$3:$M$600,'Fin Forecast'!$B$3:$B$600,'Jul17-Jun18 Retail'!$E26,'Fin Forecast'!$C$3:$C$600,'Jul17-Jun18 Retail'!$BG$5)*1000</f>
        <v>3984079.5</v>
      </c>
      <c r="BH26" s="35">
        <f>SUMIFS('Fin Forecast'!$M$3:$M$600,'Fin Forecast'!$B$3:$B$600,'Jul17-Jun18 Retail'!$E26,'Fin Forecast'!$C$3:$C$600,'Jul17-Jun18 Retail'!$BH$5)*1000</f>
        <v>1026941.15403667</v>
      </c>
      <c r="BI26" s="35">
        <f>SUMIFS('Fin Forecast'!$M$3:$M$600,'Fin Forecast'!$B$3:$B$600,'Jul17-Jun18 Retail'!$E26,'Fin Forecast'!$C$3:$C$600,'Jul17-Jun18 Retail'!$BI$5)*1000</f>
        <v>0</v>
      </c>
      <c r="BJ26" s="35">
        <f>SUMIFS('Fin Forecast'!$M$3:$M$600,'Fin Forecast'!$B$3:$B$600,'Jul17-Jun18 Retail'!$E26,'Fin Forecast'!$C$3:$C$600,'Jul17-Jun18 Retail'!$BJ$5)*1000</f>
        <v>1819804.3182189101</v>
      </c>
      <c r="BL26" s="44">
        <f t="shared" ca="1" si="72"/>
        <v>4.5108990743756294E-3</v>
      </c>
      <c r="BN26" s="49">
        <f t="shared" ca="1" si="73"/>
        <v>0</v>
      </c>
      <c r="BO26" s="49">
        <f t="shared" ca="1" si="74"/>
        <v>-1.4142633881419897E-4</v>
      </c>
      <c r="BP26" s="49">
        <f t="shared" si="75"/>
        <v>0</v>
      </c>
    </row>
    <row r="27" spans="1:68" s="323" customFormat="1" ht="15" customHeight="1" x14ac:dyDescent="0.25">
      <c r="C27" s="324"/>
      <c r="D27" s="362"/>
      <c r="E27" s="362"/>
      <c r="F27" s="324"/>
      <c r="G27" s="324"/>
      <c r="H27" s="325"/>
      <c r="I27" s="325"/>
      <c r="J27" s="325"/>
      <c r="K27" s="325"/>
      <c r="L27" s="325"/>
      <c r="M27" s="325"/>
      <c r="N27" s="326"/>
      <c r="O27" s="326"/>
      <c r="P27" s="327"/>
      <c r="Q27" s="327"/>
      <c r="R27" s="327"/>
      <c r="S27" s="326"/>
      <c r="T27" s="327"/>
      <c r="U27" s="326"/>
      <c r="V27" s="328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30"/>
      <c r="AH27" s="330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31"/>
      <c r="BC27" s="329"/>
      <c r="BD27" s="329"/>
      <c r="BE27" s="329"/>
      <c r="BF27" s="329"/>
      <c r="BG27" s="329"/>
      <c r="BH27" s="329"/>
      <c r="BI27" s="329"/>
      <c r="BJ27" s="329"/>
      <c r="BL27" s="329"/>
      <c r="BN27" s="329"/>
      <c r="BO27" s="329"/>
      <c r="BP27" s="329"/>
    </row>
    <row r="28" spans="1:68" ht="15" customHeight="1" x14ac:dyDescent="0.25">
      <c r="C28" s="6">
        <f>C26+1</f>
        <v>19</v>
      </c>
      <c r="D28" s="361">
        <f>EDATE(D21,1)</f>
        <v>43009</v>
      </c>
      <c r="E28" s="361" t="str">
        <f>+'Retail Rates'!$B$7</f>
        <v>LGCMG865</v>
      </c>
      <c r="F28" s="6" t="str">
        <f>MID(E28,6,3)</f>
        <v>865</v>
      </c>
      <c r="G28" s="6" t="str">
        <f>VLOOKUP(E28,'Retail Rates'!$B$7:$D$34,3,FALSE)</f>
        <v>AAGS-C</v>
      </c>
      <c r="H28" s="25">
        <f>SUMIF('Forcasted Customer Cts'!$D$5:$D$36,'Jul17-Jun18 Retail'!$E28,'Forcasted Customer Cts'!$S$5:$S$36)</f>
        <v>4</v>
      </c>
      <c r="I28" s="25"/>
      <c r="J28" s="25"/>
      <c r="K28" s="25">
        <f>SUMIF('Forecasted Calendar Month Usage'!$D$5:$D$41,'Jul17-Jun18 Retail'!$E28,'Forecasted Calendar Month Usage'!$AA$5:$AA$41)*10</f>
        <v>174143.63126225155</v>
      </c>
      <c r="L28" s="25"/>
      <c r="M28" s="25"/>
      <c r="N28" s="26">
        <f>VLOOKUP($E28,'Retail Rates'!$B$7:$L$34,5,FALSE)</f>
        <v>400</v>
      </c>
      <c r="O28" s="26">
        <f>VLOOKUP($E28,'Retail Rates'!$B$7:$L$34,6,FALSE)</f>
        <v>0</v>
      </c>
      <c r="P28" s="27">
        <f>VLOOKUP($E28,'Retail Rates'!$B$7:$L$34,7,FALSE)</f>
        <v>7.009E-2</v>
      </c>
      <c r="Q28" s="27">
        <f>VLOOKUP($E28,'Retail Rates'!$B$7:$L$34,8,FALSE)</f>
        <v>0</v>
      </c>
      <c r="R28" s="27"/>
      <c r="S28" s="26">
        <f>VLOOKUP($E28,'Retail Rates'!$B$7:$L$34,9,FALSE)</f>
        <v>0</v>
      </c>
      <c r="T28" s="27">
        <f>VLOOKUP($E28,'Retail Rates'!$B$7:$L$34,10,FALSE)</f>
        <v>0</v>
      </c>
      <c r="U28" s="26">
        <f>VLOOKUP($E28,'Retail Rates'!$B$7:$L$34,11,FALSE)</f>
        <v>0</v>
      </c>
      <c r="V28" s="309"/>
      <c r="W28" s="28">
        <f t="shared" ref="W28:W33" si="84">(+H28*N28)+(I28*N28)</f>
        <v>1600</v>
      </c>
      <c r="X28" s="28"/>
      <c r="Y28" s="28"/>
      <c r="Z28" s="28">
        <f t="shared" ref="Z28:Z33" si="85">+K28*P28</f>
        <v>12205.727115171212</v>
      </c>
      <c r="AA28" s="28">
        <f t="shared" ref="AA28:AA33" si="86">+L28*Q28</f>
        <v>0</v>
      </c>
      <c r="AB28" s="28">
        <f t="shared" ref="AB28:AB33" si="87">SUM(K28:L28)*R28</f>
        <v>0</v>
      </c>
      <c r="AC28" s="28"/>
      <c r="AD28" s="28"/>
      <c r="AE28" s="28">
        <f>M28*U28</f>
        <v>0</v>
      </c>
      <c r="AF28" s="28">
        <f t="shared" ref="AF28:AF31" si="88">(+H28*V28)+(I28*V28)</f>
        <v>0</v>
      </c>
      <c r="AG28" s="48">
        <f ca="1">SUMIFS(Adjustments!H$5:H$557,Adjustments!$B$5:$B$557,'Jul17-Jun18 Retail'!$D28,Adjustments!$C$5:$C$557,'Jul17-Jun18 Retail'!$E28)</f>
        <v>0</v>
      </c>
      <c r="AH28" s="48">
        <f ca="1">SUMIFS(Adjustments!I$5:I$557,Adjustments!$B$5:$B$557,'Jul17-Jun18 Retail'!$D28,Adjustments!$C$5:$C$557,'Jul17-Jun18 Retail'!$E28)</f>
        <v>0</v>
      </c>
      <c r="AI28" s="40">
        <f ca="1">SUMIFS(Adjustments!J$5:J$557,Adjustments!$B$5:$B$557,'Jul17-Jun18 Retail'!$D28,Adjustments!$C$5:$C$557,'Jul17-Jun18 Retail'!$E28)</f>
        <v>0</v>
      </c>
      <c r="AJ28" s="40">
        <f ca="1">SUMIFS(Adjustments!K$5:K$557,Adjustments!$B$5:$B$557,'Jul17-Jun18 Retail'!$D28,Adjustments!$C$5:$C$557,'Jul17-Jun18 Retail'!$E28)</f>
        <v>0</v>
      </c>
      <c r="AK28" s="40">
        <f ca="1">SUMIFS(Adjustments!L$5:L$557,Adjustments!$B$5:$B$557,'Jul17-Jun18 Retail'!$D28,Adjustments!$C$5:$C$557,'Jul17-Jun18 Retail'!$E28)</f>
        <v>0</v>
      </c>
      <c r="AL28" s="40">
        <f ca="1">SUMIFS(Adjustments!M$5:M$557,Adjustments!$B$5:$B$557,'Jul17-Jun18 Retail'!$D28,Adjustments!$C$5:$C$557,'Jul17-Jun18 Retail'!$E28)</f>
        <v>0</v>
      </c>
      <c r="AM28" s="40">
        <f ca="1">SUMIFS(Adjustments!N$5:N$557,Adjustments!$B$5:$B$557,'Jul17-Jun18 Retail'!$D28,Adjustments!$C$5:$C$557,'Jul17-Jun18 Retail'!$E28)</f>
        <v>0</v>
      </c>
      <c r="AN28" s="40">
        <f ca="1">SUMIFS(Adjustments!O$5:O$557,Adjustments!$B$5:$B$557,'Jul17-Jun18 Retail'!$D28,Adjustments!$C$5:$C$557,'Jul17-Jun18 Retail'!$E28)</f>
        <v>0</v>
      </c>
      <c r="AO28" s="40">
        <f ca="1">SUMIFS(Adjustments!P$5:P$557,Adjustments!$B$5:$B$557,'Jul17-Jun18 Retail'!$D28,Adjustments!$C$5:$C$557,'Jul17-Jun18 Retail'!$E28)</f>
        <v>0</v>
      </c>
      <c r="AP28" s="28">
        <f t="shared" ref="AP28:AP32" ca="1" si="89">+W28+AI28+(AG28*N28)</f>
        <v>1600</v>
      </c>
      <c r="AQ28" s="28">
        <f t="shared" ref="AQ28:AQ33" ca="1" si="90">+Y28+AJ28</f>
        <v>0</v>
      </c>
      <c r="AR28" s="28">
        <f t="shared" ref="AR28:AR33" ca="1" si="91">+Z28+AK28</f>
        <v>12205.727115171212</v>
      </c>
      <c r="AS28" s="28">
        <f t="shared" ref="AS28:AS33" ca="1" si="92">+AA28+AL28</f>
        <v>0</v>
      </c>
      <c r="AT28" s="35">
        <f t="shared" ref="AT28:AT33" si="93">BD28</f>
        <v>46492.81052039827</v>
      </c>
      <c r="AU28" s="35">
        <f t="shared" ref="AU28:AU33" si="94">BC28</f>
        <v>1474.4051803684379</v>
      </c>
      <c r="AV28" s="35"/>
      <c r="AW28" s="35">
        <f t="shared" ref="AW28:AW33" si="95">BJ28</f>
        <v>12969.116020980771</v>
      </c>
      <c r="AX28" s="28">
        <f t="shared" ref="AX28:AX33" ca="1" si="96">+AE28+AO28</f>
        <v>0</v>
      </c>
      <c r="AY28" s="28"/>
      <c r="AZ28" s="35">
        <f t="shared" ref="AZ28:AZ29" ca="1" si="97">ROUND(SUM(AP28:AY28),2)</f>
        <v>74742.06</v>
      </c>
      <c r="BA28" s="35">
        <f>SUM(BC28:BJ28)-BF28</f>
        <v>74742.058834658179</v>
      </c>
      <c r="BB28" s="36">
        <f t="shared" ref="BB28:BB33" ca="1" si="98">IF(BA28=0,0,ROUND(BA28/AZ28,6))</f>
        <v>1</v>
      </c>
      <c r="BC28" s="35">
        <f>SUMIFS('Fin Forecast'!$N$3:$N$600,'Fin Forecast'!$B$3:$B$600,'Jul17-Jun18 Retail'!$E28,'Fin Forecast'!$C$3:$C$600,'Jul17-Jun18 Retail'!$BC$5)*1000</f>
        <v>1474.4051803684379</v>
      </c>
      <c r="BD28" s="35">
        <f>SUMIFS('Fin Forecast'!$N$3:$N$600,'Fin Forecast'!$B$3:$B$600,'Jul17-Jun18 Retail'!$E28,'Fin Forecast'!$C$3:$C$600,'Jul17-Jun18 Retail'!$BD$5)*1000</f>
        <v>46492.81052039827</v>
      </c>
      <c r="BE28" s="35"/>
      <c r="BF28" s="35"/>
      <c r="BG28" s="35">
        <f>SUMIFS('Fin Forecast'!$N$3:$N$600,'Fin Forecast'!$B$3:$B$600,'Jul17-Jun18 Retail'!$E28,'Fin Forecast'!$C$3:$C$600,'Jul17-Jun18 Retail'!$BG$5)*1000</f>
        <v>1600</v>
      </c>
      <c r="BH28" s="35">
        <f>SUMIFS('Fin Forecast'!$N$3:$N$600,'Fin Forecast'!$B$3:$B$600,'Jul17-Jun18 Retail'!$E28,'Fin Forecast'!$C$3:$C$600,'Jul17-Jun18 Retail'!$BH$5)*1000</f>
        <v>12205.727112910692</v>
      </c>
      <c r="BI28" s="35">
        <f>SUMIFS('Fin Forecast'!$N$3:$N$600,'Fin Forecast'!$B$3:$B$600,'Jul17-Jun18 Retail'!$E28,'Fin Forecast'!$C$3:$C$600,'Jul17-Jun18 Retail'!$BI$5)*1000</f>
        <v>0</v>
      </c>
      <c r="BJ28" s="35">
        <f>SUMIFS('Fin Forecast'!$N$3:$N$600,'Fin Forecast'!$B$3:$B$600,'Jul17-Jun18 Retail'!$E28,'Fin Forecast'!$C$3:$C$600,'Jul17-Jun18 Retail'!$BJ$5)*1000</f>
        <v>12969.116020980771</v>
      </c>
      <c r="BL28" s="44">
        <f t="shared" ref="BL28:BL33" ca="1" si="99">+AZ28-BA28</f>
        <v>1.1653418187052011E-3</v>
      </c>
      <c r="BN28" s="49">
        <f t="shared" ref="BN28:BN33" ca="1" si="100">+AP28+AQ28-BG28</f>
        <v>0</v>
      </c>
      <c r="BO28" s="49">
        <f t="shared" ref="BO28:BO33" ca="1" si="101">+AR28+AS28-BH28</f>
        <v>2.2605199774261564E-6</v>
      </c>
      <c r="BP28" s="49">
        <f t="shared" ref="BP28:BP33" si="102">+AT28-BD28</f>
        <v>0</v>
      </c>
    </row>
    <row r="29" spans="1:68" ht="15" customHeight="1" x14ac:dyDescent="0.25">
      <c r="C29" s="6">
        <f>C28+1</f>
        <v>20</v>
      </c>
      <c r="D29" s="361">
        <f>$D$28</f>
        <v>43009</v>
      </c>
      <c r="E29" s="361" t="str">
        <f>+'Retail Rates'!$B$10</f>
        <v>LGING866</v>
      </c>
      <c r="F29" s="6" t="str">
        <f t="shared" ref="F29:F33" si="103">MID(E29,6,3)</f>
        <v>866</v>
      </c>
      <c r="G29" s="6" t="str">
        <f>VLOOKUP(E29,'Retail Rates'!$B$7:$D$34,3,FALSE)</f>
        <v>AAGS-I</v>
      </c>
      <c r="H29" s="25">
        <f>SUMIF('Forcasted Customer Cts'!$D$5:$D$36,'Jul17-Jun18 Retail'!$E29,'Forcasted Customer Cts'!$S$5:$S$36)</f>
        <v>0</v>
      </c>
      <c r="I29" s="25"/>
      <c r="J29" s="25"/>
      <c r="K29" s="25">
        <f>SUMIF('Forecasted Calendar Month Usage'!$D$5:$D$41,'Jul17-Jun18 Retail'!$E29,'Forecasted Calendar Month Usage'!$AA$5:$AA$41)*10</f>
        <v>0</v>
      </c>
      <c r="L29" s="25"/>
      <c r="M29" s="25"/>
      <c r="N29" s="26">
        <f>VLOOKUP($E29,'Retail Rates'!$B$7:$L$34,5,FALSE)</f>
        <v>400</v>
      </c>
      <c r="O29" s="26">
        <f>VLOOKUP($E29,'Retail Rates'!$B$7:$L$34,6,FALSE)</f>
        <v>0</v>
      </c>
      <c r="P29" s="27">
        <f>VLOOKUP($E29,'Retail Rates'!$B$7:$L$34,7,FALSE)</f>
        <v>7.009E-2</v>
      </c>
      <c r="Q29" s="27">
        <f>VLOOKUP($E29,'Retail Rates'!$B$7:$L$34,8,FALSE)</f>
        <v>0</v>
      </c>
      <c r="R29" s="27"/>
      <c r="S29" s="26">
        <f>VLOOKUP($E29,'Retail Rates'!$B$7:$L$34,9,FALSE)</f>
        <v>0</v>
      </c>
      <c r="T29" s="27">
        <f>VLOOKUP($E29,'Retail Rates'!$B$7:$L$34,10,FALSE)</f>
        <v>0</v>
      </c>
      <c r="U29" s="26">
        <f>VLOOKUP($E29,'Retail Rates'!$B$7:$L$34,11,FALSE)</f>
        <v>0</v>
      </c>
      <c r="V29" s="309"/>
      <c r="W29" s="28">
        <f t="shared" si="84"/>
        <v>0</v>
      </c>
      <c r="X29" s="28"/>
      <c r="Y29" s="28"/>
      <c r="Z29" s="28">
        <f t="shared" si="85"/>
        <v>0</v>
      </c>
      <c r="AA29" s="28">
        <f t="shared" si="86"/>
        <v>0</v>
      </c>
      <c r="AB29" s="28">
        <f t="shared" si="87"/>
        <v>0</v>
      </c>
      <c r="AC29" s="28"/>
      <c r="AD29" s="28"/>
      <c r="AE29" s="28">
        <f t="shared" ref="AE29:AE33" si="104">M29*U29</f>
        <v>0</v>
      </c>
      <c r="AF29" s="28">
        <f t="shared" si="88"/>
        <v>0</v>
      </c>
      <c r="AG29" s="48">
        <f ca="1">SUMIFS(Adjustments!H$5:H$557,Adjustments!$B$5:$B$557,'Jul17-Jun18 Retail'!$D29,Adjustments!$C$5:$C$557,'Jul17-Jun18 Retail'!$E29)</f>
        <v>0</v>
      </c>
      <c r="AH29" s="48">
        <f ca="1">SUMIFS(Adjustments!I$5:I$557,Adjustments!$B$5:$B$557,'Jul17-Jun18 Retail'!$D29,Adjustments!$C$5:$C$557,'Jul17-Jun18 Retail'!$E29)</f>
        <v>0</v>
      </c>
      <c r="AI29" s="40">
        <f ca="1">SUMIFS(Adjustments!J$5:J$557,Adjustments!$B$5:$B$557,'Jul17-Jun18 Retail'!$D29,Adjustments!$C$5:$C$557,'Jul17-Jun18 Retail'!$E29)</f>
        <v>0</v>
      </c>
      <c r="AJ29" s="40">
        <f ca="1">SUMIFS(Adjustments!K$5:K$557,Adjustments!$B$5:$B$557,'Jul17-Jun18 Retail'!$D29,Adjustments!$C$5:$C$557,'Jul17-Jun18 Retail'!$E29)</f>
        <v>0</v>
      </c>
      <c r="AK29" s="40">
        <f ca="1">SUMIFS(Adjustments!L$5:L$557,Adjustments!$B$5:$B$557,'Jul17-Jun18 Retail'!$D29,Adjustments!$C$5:$C$557,'Jul17-Jun18 Retail'!$E29)</f>
        <v>0</v>
      </c>
      <c r="AL29" s="40">
        <f ca="1">SUMIFS(Adjustments!M$5:M$557,Adjustments!$B$5:$B$557,'Jul17-Jun18 Retail'!$D29,Adjustments!$C$5:$C$557,'Jul17-Jun18 Retail'!$E29)</f>
        <v>0</v>
      </c>
      <c r="AM29" s="40">
        <f ca="1">SUMIFS(Adjustments!N$5:N$557,Adjustments!$B$5:$B$557,'Jul17-Jun18 Retail'!$D29,Adjustments!$C$5:$C$557,'Jul17-Jun18 Retail'!$E29)</f>
        <v>0</v>
      </c>
      <c r="AN29" s="40">
        <f ca="1">SUMIFS(Adjustments!O$5:O$557,Adjustments!$B$5:$B$557,'Jul17-Jun18 Retail'!$D29,Adjustments!$C$5:$C$557,'Jul17-Jun18 Retail'!$E29)</f>
        <v>0</v>
      </c>
      <c r="AO29" s="40">
        <f ca="1">SUMIFS(Adjustments!P$5:P$557,Adjustments!$B$5:$B$557,'Jul17-Jun18 Retail'!$D29,Adjustments!$C$5:$C$557,'Jul17-Jun18 Retail'!$E29)</f>
        <v>0</v>
      </c>
      <c r="AP29" s="28">
        <f t="shared" ca="1" si="89"/>
        <v>0</v>
      </c>
      <c r="AQ29" s="28">
        <f t="shared" ca="1" si="90"/>
        <v>0</v>
      </c>
      <c r="AR29" s="28">
        <f t="shared" ca="1" si="91"/>
        <v>0</v>
      </c>
      <c r="AS29" s="28">
        <f t="shared" ca="1" si="92"/>
        <v>0</v>
      </c>
      <c r="AT29" s="35">
        <f t="shared" si="93"/>
        <v>0</v>
      </c>
      <c r="AU29" s="35">
        <f t="shared" si="94"/>
        <v>0</v>
      </c>
      <c r="AV29" s="35"/>
      <c r="AW29" s="35">
        <f t="shared" si="95"/>
        <v>0</v>
      </c>
      <c r="AX29" s="28">
        <f t="shared" ca="1" si="96"/>
        <v>0</v>
      </c>
      <c r="AY29" s="28"/>
      <c r="AZ29" s="35">
        <f t="shared" ca="1" si="97"/>
        <v>0</v>
      </c>
      <c r="BA29" s="35">
        <f t="shared" ref="BA29" si="105">SUM(BC29:BJ29)-BF29</f>
        <v>0</v>
      </c>
      <c r="BB29" s="36">
        <f t="shared" si="98"/>
        <v>0</v>
      </c>
      <c r="BC29" s="35">
        <f>SUMIFS('Fin Forecast'!$N$3:$N$600,'Fin Forecast'!$B$3:$B$600,'Jul17-Jun18 Retail'!$E29,'Fin Forecast'!$C$3:$C$600,'Jul17-Jun18 Retail'!$BC$5)*1000</f>
        <v>0</v>
      </c>
      <c r="BD29" s="35">
        <f>SUMIFS('Fin Forecast'!$N$3:$N$600,'Fin Forecast'!$B$3:$B$600,'Jul17-Jun18 Retail'!$E29,'Fin Forecast'!$C$3:$C$600,'Jul17-Jun18 Retail'!$BD$5)*1000</f>
        <v>0</v>
      </c>
      <c r="BE29" s="35"/>
      <c r="BF29" s="35"/>
      <c r="BG29" s="35">
        <f>SUMIFS('Fin Forecast'!$N$3:$N$600,'Fin Forecast'!$B$3:$B$600,'Jul17-Jun18 Retail'!$E29,'Fin Forecast'!$C$3:$C$600,'Jul17-Jun18 Retail'!$BG$5)*1000</f>
        <v>0</v>
      </c>
      <c r="BH29" s="35">
        <f>SUMIFS('Fin Forecast'!$N$3:$N$600,'Fin Forecast'!$B$3:$B$600,'Jul17-Jun18 Retail'!$E29,'Fin Forecast'!$C$3:$C$600,'Jul17-Jun18 Retail'!$BH$5)*1000</f>
        <v>0</v>
      </c>
      <c r="BI29" s="35">
        <f>SUMIFS('Fin Forecast'!$N$3:$N$600,'Fin Forecast'!$B$3:$B$600,'Jul17-Jun18 Retail'!$E29,'Fin Forecast'!$C$3:$C$600,'Jul17-Jun18 Retail'!$BI$5)*1000</f>
        <v>0</v>
      </c>
      <c r="BJ29" s="35">
        <f>SUMIFS('Fin Forecast'!$N$3:$N$600,'Fin Forecast'!$B$3:$B$600,'Jul17-Jun18 Retail'!$E29,'Fin Forecast'!$C$3:$C$600,'Jul17-Jun18 Retail'!$BJ$5)*1000</f>
        <v>0</v>
      </c>
      <c r="BL29" s="44">
        <f t="shared" ca="1" si="99"/>
        <v>0</v>
      </c>
      <c r="BN29" s="49">
        <f t="shared" ca="1" si="100"/>
        <v>0</v>
      </c>
      <c r="BO29" s="49">
        <f t="shared" ca="1" si="101"/>
        <v>0</v>
      </c>
      <c r="BP29" s="49">
        <f t="shared" si="102"/>
        <v>0</v>
      </c>
    </row>
    <row r="30" spans="1:68" ht="15" x14ac:dyDescent="0.25">
      <c r="A30" s="304" t="s">
        <v>443</v>
      </c>
      <c r="B30" s="304" t="s">
        <v>444</v>
      </c>
      <c r="C30" s="6">
        <f>C29+1</f>
        <v>21</v>
      </c>
      <c r="D30" s="361">
        <f t="shared" ref="D30:D33" si="106">$D$28</f>
        <v>43009</v>
      </c>
      <c r="E30" s="361" t="str">
        <f>+'Retail Rates'!$B$15</f>
        <v>LGCMG851</v>
      </c>
      <c r="F30" s="6" t="str">
        <f t="shared" si="103"/>
        <v>851</v>
      </c>
      <c r="G30" s="6" t="str">
        <f>VLOOKUP(E30,'Retail Rates'!$B$7:$D$34,3,FALSE)</f>
        <v>CGS</v>
      </c>
      <c r="H30" s="25"/>
      <c r="I30" s="25">
        <f>SUMIFS('Forcasted Customer Cts'!$S$5:$S$36,'Forcasted Customer Cts'!$D$5:$D$36,'Jul17-Jun18 Retail'!$E30,'Forcasted Customer Cts'!$C$5:$C$36,'Jul17-Jun18 Retail'!$A$9)</f>
        <v>23775</v>
      </c>
      <c r="J30" s="25">
        <f>SUMIFS('Forcasted Customer Cts'!$S$5:$S$36,'Forcasted Customer Cts'!$D$5:$D$36,'Jul17-Jun18 Retail'!$E30,'Forcasted Customer Cts'!$C$5:$C$36,'Jul17-Jun18 Retail'!$B$9)</f>
        <v>990</v>
      </c>
      <c r="K30" s="25">
        <f>SUMIFS('Forecasted Calendar Month Usage'!$AA$5:$AA$41,'Forecasted Calendar Month Usage'!$D$5:$D$41,'Jul17-Jun18 Retail'!$E30,'Forecasted Calendar Month Usage'!$C$5:$C$41,'Jul17-Jun18 Retail'!$A$11)*10</f>
        <v>4566109.9027133416</v>
      </c>
      <c r="L30" s="25">
        <f>SUMIFS('Forecasted Calendar Month Usage'!$AA$5:$AA$41,'Forecasted Calendar Month Usage'!$D$5:$D$41,'Jul17-Jun18 Retail'!$E30,'Forecasted Calendar Month Usage'!$C$5:$C$41,'Jul17-Jun18 Retail'!$B$11)*10</f>
        <v>190206.68246411852</v>
      </c>
      <c r="M30" s="25"/>
      <c r="N30" s="26">
        <f>VLOOKUP($E30,'Retail Rates'!$B$7:$L$34,5,FALSE)</f>
        <v>40</v>
      </c>
      <c r="O30" s="26">
        <f>VLOOKUP($E30,'Retail Rates'!$B$7:$L$34,6,FALSE)</f>
        <v>180</v>
      </c>
      <c r="P30" s="27">
        <f>VLOOKUP($E30,'Retail Rates'!$B$7:$L$34,7,FALSE)</f>
        <v>0.21504000000000001</v>
      </c>
      <c r="Q30" s="27">
        <f>VLOOKUP($E30,'Retail Rates'!$B$7:$L$34,8,FALSE)</f>
        <v>0.16504000000000002</v>
      </c>
      <c r="R30" s="27"/>
      <c r="S30" s="26">
        <f>VLOOKUP($E30,'Retail Rates'!$B$7:$L$34,9,FALSE)</f>
        <v>0</v>
      </c>
      <c r="T30" s="27">
        <f>VLOOKUP($E30,'Retail Rates'!$B$7:$L$34,10,FALSE)</f>
        <v>0</v>
      </c>
      <c r="U30" s="26">
        <f>VLOOKUP($E30,'Retail Rates'!$B$7:$L$34,11,FALSE)</f>
        <v>0</v>
      </c>
      <c r="V30" s="309"/>
      <c r="W30" s="28">
        <f t="shared" si="84"/>
        <v>951000</v>
      </c>
      <c r="X30" s="28"/>
      <c r="Y30" s="28">
        <f>+J30*O30</f>
        <v>178200</v>
      </c>
      <c r="Z30" s="28">
        <f t="shared" si="85"/>
        <v>981896.27347947704</v>
      </c>
      <c r="AA30" s="28">
        <f t="shared" si="86"/>
        <v>31391.710873878124</v>
      </c>
      <c r="AB30" s="28">
        <f t="shared" si="87"/>
        <v>0</v>
      </c>
      <c r="AC30" s="28"/>
      <c r="AD30" s="28"/>
      <c r="AE30" s="28">
        <f t="shared" si="104"/>
        <v>0</v>
      </c>
      <c r="AF30" s="28">
        <f t="shared" si="88"/>
        <v>0</v>
      </c>
      <c r="AG30" s="48">
        <f ca="1">SUMIFS(Adjustments!H$5:H$557,Adjustments!$B$5:$B$557,'Jul17-Jun18 Retail'!$D30,Adjustments!$C$5:$C$557,'Jul17-Jun18 Retail'!$E30)</f>
        <v>0</v>
      </c>
      <c r="AH30" s="48">
        <f ca="1">SUMIFS(Adjustments!I$5:I$557,Adjustments!$B$5:$B$557,'Jul17-Jun18 Retail'!$D30,Adjustments!$C$5:$C$557,'Jul17-Jun18 Retail'!$E30)</f>
        <v>0</v>
      </c>
      <c r="AI30" s="40">
        <f ca="1">SUMIFS(Adjustments!J$5:J$557,Adjustments!$B$5:$B$557,'Jul17-Jun18 Retail'!$D30,Adjustments!$C$5:$C$557,'Jul17-Jun18 Retail'!$E30)</f>
        <v>0</v>
      </c>
      <c r="AJ30" s="40">
        <f ca="1">SUMIFS(Adjustments!K$5:K$557,Adjustments!$B$5:$B$557,'Jul17-Jun18 Retail'!$D30,Adjustments!$C$5:$C$557,'Jul17-Jun18 Retail'!$E30)</f>
        <v>0</v>
      </c>
      <c r="AK30" s="40">
        <f ca="1">SUMIFS(Adjustments!L$5:L$557,Adjustments!$B$5:$B$557,'Jul17-Jun18 Retail'!$D30,Adjustments!$C$5:$C$557,'Jul17-Jun18 Retail'!$E30)</f>
        <v>0</v>
      </c>
      <c r="AL30" s="40">
        <f ca="1">SUMIFS(Adjustments!M$5:M$557,Adjustments!$B$5:$B$557,'Jul17-Jun18 Retail'!$D30,Adjustments!$C$5:$C$557,'Jul17-Jun18 Retail'!$E30)</f>
        <v>0</v>
      </c>
      <c r="AM30" s="40">
        <f ca="1">SUMIFS(Adjustments!N$5:N$557,Adjustments!$B$5:$B$557,'Jul17-Jun18 Retail'!$D30,Adjustments!$C$5:$C$557,'Jul17-Jun18 Retail'!$E30)</f>
        <v>0</v>
      </c>
      <c r="AN30" s="40">
        <f ca="1">SUMIFS(Adjustments!O$5:O$557,Adjustments!$B$5:$B$557,'Jul17-Jun18 Retail'!$D30,Adjustments!$C$5:$C$557,'Jul17-Jun18 Retail'!$E30)</f>
        <v>0</v>
      </c>
      <c r="AO30" s="40">
        <f ca="1">SUMIFS(Adjustments!P$5:P$557,Adjustments!$B$5:$B$557,'Jul17-Jun18 Retail'!$D30,Adjustments!$C$5:$C$557,'Jul17-Jun18 Retail'!$E30)</f>
        <v>0</v>
      </c>
      <c r="AP30" s="28">
        <f t="shared" ca="1" si="89"/>
        <v>951000</v>
      </c>
      <c r="AQ30" s="28">
        <f t="shared" ca="1" si="90"/>
        <v>178200</v>
      </c>
      <c r="AR30" s="28">
        <f t="shared" ca="1" si="91"/>
        <v>981896.27347947704</v>
      </c>
      <c r="AS30" s="28">
        <f t="shared" ca="1" si="92"/>
        <v>31391.710873878124</v>
      </c>
      <c r="AT30" s="35">
        <f t="shared" si="93"/>
        <v>1269839.8685585959</v>
      </c>
      <c r="AU30" s="35">
        <f t="shared" si="94"/>
        <v>114045.1296316572</v>
      </c>
      <c r="AV30" s="35"/>
      <c r="AW30" s="35">
        <f t="shared" si="95"/>
        <v>789107.64810413471</v>
      </c>
      <c r="AX30" s="28">
        <f t="shared" ca="1" si="96"/>
        <v>0</v>
      </c>
      <c r="AY30" s="28"/>
      <c r="AZ30" s="35">
        <f t="shared" ref="AZ30:AZ32" ca="1" si="107">ROUND(SUM(AP30:AY30),2)</f>
        <v>4315480.63</v>
      </c>
      <c r="BA30" s="35">
        <f t="shared" ref="BA30:BA32" si="108">SUM(BC30:BJ30)-BF30</f>
        <v>4315480.6307479879</v>
      </c>
      <c r="BB30" s="36">
        <f t="shared" ca="1" si="98"/>
        <v>1</v>
      </c>
      <c r="BC30" s="35">
        <f>SUMIFS('Fin Forecast'!$N$3:$N$600,'Fin Forecast'!$B$3:$B$600,'Jul17-Jun18 Retail'!$E30,'Fin Forecast'!$C$3:$C$600,'Jul17-Jun18 Retail'!$BC$5)*1000</f>
        <v>114045.1296316572</v>
      </c>
      <c r="BD30" s="35">
        <f>SUMIFS('Fin Forecast'!$N$3:$N$600,'Fin Forecast'!$B$3:$B$600,'Jul17-Jun18 Retail'!$E30,'Fin Forecast'!$C$3:$C$600,'Jul17-Jun18 Retail'!$BD$5)*1000</f>
        <v>1269839.8685585959</v>
      </c>
      <c r="BE30" s="35"/>
      <c r="BF30" s="35"/>
      <c r="BG30" s="35">
        <f>SUMIFS('Fin Forecast'!$N$3:$N$600,'Fin Forecast'!$B$3:$B$600,'Jul17-Jun18 Retail'!$E30,'Fin Forecast'!$C$3:$C$600,'Jul17-Jun18 Retail'!$BG$5)*1000</f>
        <v>1129200</v>
      </c>
      <c r="BH30" s="35">
        <f>SUMIFS('Fin Forecast'!$N$3:$N$600,'Fin Forecast'!$B$3:$B$600,'Jul17-Jun18 Retail'!$E30,'Fin Forecast'!$C$3:$C$600,'Jul17-Jun18 Retail'!$BH$5)*1000</f>
        <v>1013287.9844536</v>
      </c>
      <c r="BI30" s="35">
        <f>SUMIFS('Fin Forecast'!$N$3:$N$600,'Fin Forecast'!$B$3:$B$600,'Jul17-Jun18 Retail'!$E30,'Fin Forecast'!$C$3:$C$600,'Jul17-Jun18 Retail'!$BI$5)*1000</f>
        <v>0</v>
      </c>
      <c r="BJ30" s="35">
        <f>SUMIFS('Fin Forecast'!$N$3:$N$600,'Fin Forecast'!$B$3:$B$600,'Jul17-Jun18 Retail'!$E30,'Fin Forecast'!$C$3:$C$600,'Jul17-Jun18 Retail'!$BJ$5)*1000</f>
        <v>789107.64810413471</v>
      </c>
      <c r="BL30" s="44">
        <f t="shared" ca="1" si="99"/>
        <v>-7.4798800051212311E-4</v>
      </c>
      <c r="BN30" s="49">
        <f t="shared" ca="1" si="100"/>
        <v>0</v>
      </c>
      <c r="BO30" s="49">
        <f t="shared" ca="1" si="101"/>
        <v>-1.0024488437920809E-4</v>
      </c>
      <c r="BP30" s="49">
        <f t="shared" si="102"/>
        <v>0</v>
      </c>
    </row>
    <row r="31" spans="1:68" ht="15" customHeight="1" x14ac:dyDescent="0.25">
      <c r="A31" s="304"/>
      <c r="B31" s="304"/>
      <c r="C31" s="6">
        <f t="shared" ref="C31:C33" si="109">C30+1</f>
        <v>22</v>
      </c>
      <c r="D31" s="361">
        <f t="shared" si="106"/>
        <v>43009</v>
      </c>
      <c r="E31" s="361" t="str">
        <f>+'Retail Rates'!$B$20</f>
        <v>LGCMG875</v>
      </c>
      <c r="F31" s="6" t="str">
        <f t="shared" si="103"/>
        <v>875</v>
      </c>
      <c r="G31" s="6" t="str">
        <f>VLOOKUP(E31,'Retail Rates'!$B$7:$D$34,3,FALSE)</f>
        <v>DGGS-C</v>
      </c>
      <c r="H31" s="25">
        <v>1</v>
      </c>
      <c r="I31" s="25"/>
      <c r="J31" s="25"/>
      <c r="K31" s="25">
        <v>6</v>
      </c>
      <c r="L31" s="25"/>
      <c r="M31" s="25">
        <v>483</v>
      </c>
      <c r="N31" s="26">
        <f>VLOOKUP($E31,'Retail Rates'!$B$7:$L$34,5,FALSE)</f>
        <v>40</v>
      </c>
      <c r="O31" s="26">
        <f>VLOOKUP($E31,'Retail Rates'!$B$7:$L$34,6,FALSE)</f>
        <v>180</v>
      </c>
      <c r="P31" s="27">
        <f>VLOOKUP($E31,'Retail Rates'!$B$7:$L$34,7,FALSE)</f>
        <v>3.329E-2</v>
      </c>
      <c r="Q31" s="27">
        <f>VLOOKUP($E31,'Retail Rates'!$B$7:$L$34,8,FALSE)</f>
        <v>0</v>
      </c>
      <c r="R31" s="27"/>
      <c r="S31" s="26">
        <f>VLOOKUP($E31,'Retail Rates'!$B$7:$L$34,9,FALSE)</f>
        <v>0</v>
      </c>
      <c r="T31" s="27">
        <f>VLOOKUP($E31,'Retail Rates'!$B$7:$L$34,10,FALSE)</f>
        <v>0</v>
      </c>
      <c r="U31" s="403">
        <f>VLOOKUP($E31,'Retail Rates'!$B$7:$L$34,11,FALSE)</f>
        <v>1.1263000000000001</v>
      </c>
      <c r="V31" s="309"/>
      <c r="W31" s="28">
        <f t="shared" si="84"/>
        <v>40</v>
      </c>
      <c r="X31" s="28"/>
      <c r="Y31" s="28"/>
      <c r="Z31" s="28">
        <f t="shared" si="85"/>
        <v>0.19974</v>
      </c>
      <c r="AA31" s="28">
        <f t="shared" si="86"/>
        <v>0</v>
      </c>
      <c r="AB31" s="28">
        <f t="shared" si="87"/>
        <v>0</v>
      </c>
      <c r="AC31" s="28"/>
      <c r="AD31" s="28"/>
      <c r="AE31" s="28">
        <f t="shared" si="104"/>
        <v>544.00290000000007</v>
      </c>
      <c r="AF31" s="28">
        <f t="shared" si="88"/>
        <v>0</v>
      </c>
      <c r="AG31" s="48">
        <f ca="1">SUMIFS(Adjustments!H$5:H$557,Adjustments!$B$5:$B$557,'Jul17-Jun18 Retail'!$D31,Adjustments!$C$5:$C$557,'Jul17-Jun18 Retail'!$E31)</f>
        <v>0</v>
      </c>
      <c r="AH31" s="48">
        <f ca="1">SUMIFS(Adjustments!I$5:I$557,Adjustments!$B$5:$B$557,'Jul17-Jun18 Retail'!$D31,Adjustments!$C$5:$C$557,'Jul17-Jun18 Retail'!$E31)</f>
        <v>0</v>
      </c>
      <c r="AI31" s="40">
        <f ca="1">SUMIFS(Adjustments!J$5:J$557,Adjustments!$B$5:$B$557,'Jul17-Jun18 Retail'!$D31,Adjustments!$C$5:$C$557,'Jul17-Jun18 Retail'!$E31)</f>
        <v>0</v>
      </c>
      <c r="AJ31" s="40">
        <f ca="1">SUMIFS(Adjustments!K$5:K$557,Adjustments!$B$5:$B$557,'Jul17-Jun18 Retail'!$D31,Adjustments!$C$5:$C$557,'Jul17-Jun18 Retail'!$E31)</f>
        <v>0</v>
      </c>
      <c r="AK31" s="40">
        <f ca="1">SUMIFS(Adjustments!L$5:L$557,Adjustments!$B$5:$B$557,'Jul17-Jun18 Retail'!$D31,Adjustments!$C$5:$C$557,'Jul17-Jun18 Retail'!$E31)</f>
        <v>0</v>
      </c>
      <c r="AL31" s="40">
        <f ca="1">SUMIFS(Adjustments!M$5:M$557,Adjustments!$B$5:$B$557,'Jul17-Jun18 Retail'!$D31,Adjustments!$C$5:$C$557,'Jul17-Jun18 Retail'!$E31)</f>
        <v>0</v>
      </c>
      <c r="AM31" s="40">
        <f ca="1">SUMIFS(Adjustments!N$5:N$557,Adjustments!$B$5:$B$557,'Jul17-Jun18 Retail'!$D31,Adjustments!$C$5:$C$557,'Jul17-Jun18 Retail'!$E31)</f>
        <v>0</v>
      </c>
      <c r="AN31" s="40">
        <f ca="1">SUMIFS(Adjustments!O$5:O$557,Adjustments!$B$5:$B$557,'Jul17-Jun18 Retail'!$D31,Adjustments!$C$5:$C$557,'Jul17-Jun18 Retail'!$E31)</f>
        <v>0</v>
      </c>
      <c r="AO31" s="40">
        <f ca="1">SUMIFS(Adjustments!P$5:P$557,Adjustments!$B$5:$B$557,'Jul17-Jun18 Retail'!$D31,Adjustments!$C$5:$C$557,'Jul17-Jun18 Retail'!$E31)</f>
        <v>0</v>
      </c>
      <c r="AP31" s="28">
        <f t="shared" ca="1" si="89"/>
        <v>40</v>
      </c>
      <c r="AQ31" s="28">
        <f t="shared" ca="1" si="90"/>
        <v>0</v>
      </c>
      <c r="AR31" s="28">
        <f t="shared" ca="1" si="91"/>
        <v>0.19974</v>
      </c>
      <c r="AS31" s="28">
        <f t="shared" ca="1" si="92"/>
        <v>0</v>
      </c>
      <c r="AT31" s="35">
        <f t="shared" si="93"/>
        <v>1.6018780655489899</v>
      </c>
      <c r="AU31" s="35">
        <f t="shared" si="94"/>
        <v>0.14386569217346298</v>
      </c>
      <c r="AV31" s="35"/>
      <c r="AW31" s="35">
        <f t="shared" si="95"/>
        <v>0</v>
      </c>
      <c r="AX31" s="28">
        <f t="shared" ca="1" si="96"/>
        <v>544.00290000000007</v>
      </c>
      <c r="AY31" s="28"/>
      <c r="AZ31" s="35">
        <f t="shared" ca="1" si="107"/>
        <v>585.95000000000005</v>
      </c>
      <c r="BA31" s="35">
        <f t="shared" si="108"/>
        <v>585.94838375772235</v>
      </c>
      <c r="BB31" s="36">
        <f t="shared" ca="1" si="98"/>
        <v>0.99999700000000002</v>
      </c>
      <c r="BC31" s="35">
        <f>SUMIFS('Fin Forecast'!$N$3:$N$600,'Fin Forecast'!$B$3:$B$600,'Jul17-Jun18 Retail'!$E31,'Fin Forecast'!$C$3:$C$600,'Jul17-Jun18 Retail'!$BC$5)*1000</f>
        <v>0.14386569217346298</v>
      </c>
      <c r="BD31" s="35">
        <f>SUMIFS('Fin Forecast'!$N$3:$N$600,'Fin Forecast'!$B$3:$B$600,'Jul17-Jun18 Retail'!$E31,'Fin Forecast'!$C$3:$C$600,'Jul17-Jun18 Retail'!$BD$5)*1000</f>
        <v>1.6018780655489899</v>
      </c>
      <c r="BE31" s="35"/>
      <c r="BF31" s="35"/>
      <c r="BG31" s="35">
        <f>SUMIFS('Fin Forecast'!$N$3:$N$600,'Fin Forecast'!$B$3:$B$600,'Jul17-Jun18 Retail'!$E31,'Fin Forecast'!$C$3:$C$600,'Jul17-Jun18 Retail'!$BG$5)*1000</f>
        <v>40</v>
      </c>
      <c r="BH31" s="35">
        <f>SUMIFS('Fin Forecast'!$N$3:$N$600,'Fin Forecast'!$B$3:$B$600,'Jul17-Jun18 Retail'!$E31,'Fin Forecast'!$C$3:$C$600,'Jul17-Jun18 Retail'!$BH$5)*1000</f>
        <v>0.199739999999999</v>
      </c>
      <c r="BI31" s="35">
        <f>SUMIFS('Fin Forecast'!$N$3:$N$600,'Fin Forecast'!$B$3:$B$600,'Jul17-Jun18 Retail'!$E31,'Fin Forecast'!$C$3:$C$600,'Jul17-Jun18 Retail'!$BI$5)*1000</f>
        <v>544.00289999999995</v>
      </c>
      <c r="BJ31" s="35">
        <f>SUMIFS('Fin Forecast'!$N$3:$N$600,'Fin Forecast'!$B$3:$B$600,'Jul17-Jun18 Retail'!$E31,'Fin Forecast'!$C$3:$C$600,'Jul17-Jun18 Retail'!$BJ$5)*1000</f>
        <v>0</v>
      </c>
      <c r="BL31" s="44">
        <f t="shared" ca="1" si="99"/>
        <v>1.6162422776915264E-3</v>
      </c>
      <c r="BN31" s="49">
        <f t="shared" ca="1" si="100"/>
        <v>0</v>
      </c>
      <c r="BO31" s="49">
        <f t="shared" ca="1" si="101"/>
        <v>9.9920072216264089E-16</v>
      </c>
      <c r="BP31" s="49">
        <f t="shared" si="102"/>
        <v>0</v>
      </c>
    </row>
    <row r="32" spans="1:68" ht="15" customHeight="1" x14ac:dyDescent="0.25">
      <c r="A32" s="13" t="s">
        <v>445</v>
      </c>
      <c r="B32" s="13" t="s">
        <v>446</v>
      </c>
      <c r="C32" s="6">
        <f t="shared" si="109"/>
        <v>23</v>
      </c>
      <c r="D32" s="361">
        <f t="shared" si="106"/>
        <v>43009</v>
      </c>
      <c r="E32" s="361" t="str">
        <f>+'Retail Rates'!$B$26</f>
        <v>LGING855</v>
      </c>
      <c r="F32" s="6" t="str">
        <f t="shared" si="103"/>
        <v>855</v>
      </c>
      <c r="G32" s="6" t="s">
        <v>111</v>
      </c>
      <c r="H32" s="25"/>
      <c r="I32" s="25">
        <f>SUMIFS('Forcasted Customer Cts'!$S$5:$S$36,'Forcasted Customer Cts'!$D$5:$D$36,'Jul17-Jun18 Retail'!$E32,'Forcasted Customer Cts'!$C$5:$C$36,'Jul17-Jun18 Retail'!$A$9)</f>
        <v>146</v>
      </c>
      <c r="J32" s="25">
        <f>SUMIFS('Forcasted Customer Cts'!$S$5:$S$36,'Forcasted Customer Cts'!$D$5:$D$36,'Jul17-Jun18 Retail'!$E32,'Forcasted Customer Cts'!$C$5:$C$36,'Jul17-Jun18 Retail'!$B$9)</f>
        <v>114</v>
      </c>
      <c r="K32" s="25">
        <f>SUMIFS('Forecasted Calendar Month Usage'!$AA$5:$AA$41,'Forecasted Calendar Month Usage'!$D$5:$D$41,'Jul17-Jun18 Retail'!$E32,'Forecasted Calendar Month Usage'!$C$5:$C$41,'Jul17-Jun18 Retail'!$A$11)*10</f>
        <v>982251.09597492742</v>
      </c>
      <c r="L32" s="25">
        <f>SUMIFS('Forecasted Calendar Month Usage'!$AA$5:$AA$41,'Forecasted Calendar Month Usage'!$D$5:$D$41,'Jul17-Jun18 Retail'!$E32,'Forecasted Calendar Month Usage'!$C$5:$C$41,'Jul17-Jun18 Retail'!$B$11)*10</f>
        <v>355588.14466354449</v>
      </c>
      <c r="M32" s="25"/>
      <c r="N32" s="26">
        <f>VLOOKUP($E32,'Retail Rates'!$B$7:$L$34,5,FALSE)</f>
        <v>40</v>
      </c>
      <c r="O32" s="26">
        <f>VLOOKUP($E32,'Retail Rates'!$B$7:$L$34,6,FALSE)</f>
        <v>180</v>
      </c>
      <c r="P32" s="27">
        <f>VLOOKUP($E32,'Retail Rates'!$B$7:$L$34,7,FALSE)</f>
        <v>0.22778999999999999</v>
      </c>
      <c r="Q32" s="27">
        <f>VLOOKUP($E32,'Retail Rates'!$B$7:$L$34,8,FALSE)</f>
        <v>0.17779</v>
      </c>
      <c r="R32" s="27"/>
      <c r="S32" s="26">
        <f>VLOOKUP($E32,'Retail Rates'!$B$7:$L$34,9,FALSE)</f>
        <v>0</v>
      </c>
      <c r="T32" s="27">
        <f>VLOOKUP($E32,'Retail Rates'!$B$7:$L$34,10,FALSE)</f>
        <v>0</v>
      </c>
      <c r="U32" s="26">
        <f>VLOOKUP($E32,'Retail Rates'!$B$7:$L$34,11,FALSE)</f>
        <v>0</v>
      </c>
      <c r="V32" s="309"/>
      <c r="W32" s="28">
        <f t="shared" si="84"/>
        <v>5840</v>
      </c>
      <c r="X32" s="28"/>
      <c r="Y32" s="28">
        <f t="shared" ref="Y32" si="110">+J32*O32</f>
        <v>20520</v>
      </c>
      <c r="Z32" s="28">
        <f t="shared" si="85"/>
        <v>223746.9771521287</v>
      </c>
      <c r="AA32" s="28">
        <f t="shared" si="86"/>
        <v>63220.016239731573</v>
      </c>
      <c r="AB32" s="28">
        <f t="shared" si="87"/>
        <v>0</v>
      </c>
      <c r="AC32" s="28"/>
      <c r="AD32" s="28"/>
      <c r="AE32" s="28">
        <f t="shared" si="104"/>
        <v>0</v>
      </c>
      <c r="AF32" s="28">
        <f>(+I32*V32)+(J32*V32)</f>
        <v>0</v>
      </c>
      <c r="AG32" s="48">
        <f ca="1">SUMIFS(Adjustments!H$5:H$557,Adjustments!$B$5:$B$557,'Jul17-Jun18 Retail'!$D32,Adjustments!$C$5:$C$557,'Jul17-Jun18 Retail'!$E32)</f>
        <v>0</v>
      </c>
      <c r="AH32" s="48">
        <f ca="1">SUMIFS(Adjustments!I$5:I$557,Adjustments!$B$5:$B$557,'Jul17-Jun18 Retail'!$D32,Adjustments!$C$5:$C$557,'Jul17-Jun18 Retail'!$E32)</f>
        <v>0</v>
      </c>
      <c r="AI32" s="40">
        <f ca="1">SUMIFS(Adjustments!J$5:J$557,Adjustments!$B$5:$B$557,'Jul17-Jun18 Retail'!$D32,Adjustments!$C$5:$C$557,'Jul17-Jun18 Retail'!$E32)</f>
        <v>0</v>
      </c>
      <c r="AJ32" s="40">
        <f ca="1">SUMIFS(Adjustments!K$5:K$557,Adjustments!$B$5:$B$557,'Jul17-Jun18 Retail'!$D32,Adjustments!$C$5:$C$557,'Jul17-Jun18 Retail'!$E32)</f>
        <v>0</v>
      </c>
      <c r="AK32" s="40">
        <f ca="1">SUMIFS(Adjustments!L$5:L$557,Adjustments!$B$5:$B$557,'Jul17-Jun18 Retail'!$D32,Adjustments!$C$5:$C$557,'Jul17-Jun18 Retail'!$E32)</f>
        <v>0</v>
      </c>
      <c r="AL32" s="40">
        <f ca="1">SUMIFS(Adjustments!M$5:M$557,Adjustments!$B$5:$B$557,'Jul17-Jun18 Retail'!$D32,Adjustments!$C$5:$C$557,'Jul17-Jun18 Retail'!$E32)</f>
        <v>0</v>
      </c>
      <c r="AM32" s="40">
        <f ca="1">SUMIFS(Adjustments!N$5:N$557,Adjustments!$B$5:$B$557,'Jul17-Jun18 Retail'!$D32,Adjustments!$C$5:$C$557,'Jul17-Jun18 Retail'!$E32)</f>
        <v>0</v>
      </c>
      <c r="AN32" s="40">
        <f ca="1">SUMIFS(Adjustments!O$5:O$557,Adjustments!$B$5:$B$557,'Jul17-Jun18 Retail'!$D32,Adjustments!$C$5:$C$557,'Jul17-Jun18 Retail'!$E32)</f>
        <v>0</v>
      </c>
      <c r="AO32" s="40">
        <f ca="1">SUMIFS(Adjustments!P$5:P$557,Adjustments!$B$5:$B$557,'Jul17-Jun18 Retail'!$D32,Adjustments!$C$5:$C$557,'Jul17-Jun18 Retail'!$E32)</f>
        <v>0</v>
      </c>
      <c r="AP32" s="28">
        <f t="shared" ca="1" si="89"/>
        <v>5840</v>
      </c>
      <c r="AQ32" s="28">
        <f t="shared" ca="1" si="90"/>
        <v>20520</v>
      </c>
      <c r="AR32" s="28">
        <f t="shared" ca="1" si="91"/>
        <v>223746.9771521287</v>
      </c>
      <c r="AS32" s="28">
        <f t="shared" ca="1" si="92"/>
        <v>63220.016239731573</v>
      </c>
      <c r="AT32" s="35">
        <f t="shared" si="93"/>
        <v>357175.88915054</v>
      </c>
      <c r="AU32" s="35">
        <f t="shared" si="94"/>
        <v>0</v>
      </c>
      <c r="AV32" s="35"/>
      <c r="AW32" s="35">
        <f t="shared" si="95"/>
        <v>66928.137004819262</v>
      </c>
      <c r="AX32" s="28">
        <f t="shared" ca="1" si="96"/>
        <v>0</v>
      </c>
      <c r="AY32" s="28"/>
      <c r="AZ32" s="35">
        <f t="shared" ca="1" si="107"/>
        <v>737431.02</v>
      </c>
      <c r="BA32" s="35">
        <f t="shared" si="108"/>
        <v>737431.01955937827</v>
      </c>
      <c r="BB32" s="36">
        <f t="shared" ca="1" si="98"/>
        <v>1</v>
      </c>
      <c r="BC32" s="35">
        <f>SUMIFS('Fin Forecast'!$N$3:$N$600,'Fin Forecast'!$B$3:$B$600,'Jul17-Jun18 Retail'!$E32,'Fin Forecast'!$C$3:$C$600,'Jul17-Jun18 Retail'!$BC$5)*1000</f>
        <v>0</v>
      </c>
      <c r="BD32" s="35">
        <f>SUMIFS('Fin Forecast'!$N$3:$N$600,'Fin Forecast'!$B$3:$B$600,'Jul17-Jun18 Retail'!$E32,'Fin Forecast'!$C$3:$C$600,'Jul17-Jun18 Retail'!$BD$5)*1000</f>
        <v>357175.88915054</v>
      </c>
      <c r="BE32" s="35"/>
      <c r="BF32" s="35"/>
      <c r="BG32" s="35">
        <f>SUMIFS('Fin Forecast'!$N$3:$N$600,'Fin Forecast'!$B$3:$B$600,'Jul17-Jun18 Retail'!$E32,'Fin Forecast'!$C$3:$C$600,'Jul17-Jun18 Retail'!$BG$5)*1000</f>
        <v>26360</v>
      </c>
      <c r="BH32" s="35">
        <f>SUMIFS('Fin Forecast'!$N$3:$N$600,'Fin Forecast'!$B$3:$B$600,'Jul17-Jun18 Retail'!$E32,'Fin Forecast'!$C$3:$C$600,'Jul17-Jun18 Retail'!$BH$5)*1000</f>
        <v>286966.9934040191</v>
      </c>
      <c r="BI32" s="35">
        <f>SUMIFS('Fin Forecast'!$N$3:$N$600,'Fin Forecast'!$B$3:$B$600,'Jul17-Jun18 Retail'!$E32,'Fin Forecast'!$C$3:$C$600,'Jul17-Jun18 Retail'!$BI$5)*1000</f>
        <v>0</v>
      </c>
      <c r="BJ32" s="35">
        <f>SUMIFS('Fin Forecast'!$N$3:$N$600,'Fin Forecast'!$B$3:$B$600,'Jul17-Jun18 Retail'!$E32,'Fin Forecast'!$C$3:$C$600,'Jul17-Jun18 Retail'!$BJ$5)*1000</f>
        <v>66928.137004819262</v>
      </c>
      <c r="BL32" s="44">
        <f t="shared" ca="1" si="99"/>
        <v>4.406217485666275E-4</v>
      </c>
      <c r="BN32" s="49">
        <f t="shared" ca="1" si="100"/>
        <v>0</v>
      </c>
      <c r="BO32" s="49">
        <f t="shared" ca="1" si="101"/>
        <v>-1.2158823665231466E-5</v>
      </c>
      <c r="BP32" s="49">
        <f t="shared" si="102"/>
        <v>0</v>
      </c>
    </row>
    <row r="33" spans="1:68" ht="15" customHeight="1" x14ac:dyDescent="0.25">
      <c r="C33" s="6">
        <f t="shared" si="109"/>
        <v>24</v>
      </c>
      <c r="D33" s="361">
        <f t="shared" si="106"/>
        <v>43009</v>
      </c>
      <c r="E33" s="361" t="str">
        <f>+'Retail Rates'!$B$31</f>
        <v>LGRSG811</v>
      </c>
      <c r="F33" s="6" t="str">
        <f t="shared" si="103"/>
        <v>811</v>
      </c>
      <c r="G33" s="6" t="str">
        <f>VLOOKUP(E33,'Retail Rates'!$B$7:$D$34,3,FALSE)</f>
        <v>RGS</v>
      </c>
      <c r="H33" s="25">
        <f>SUMIF('Forcasted Customer Cts'!$D$5:$D$36,'Jul17-Jun18 Retail'!$E33,'Forcasted Customer Cts'!$S$5:$S$36)</f>
        <v>295420</v>
      </c>
      <c r="I33" s="25"/>
      <c r="J33" s="25"/>
      <c r="K33" s="25">
        <f>SUMIF('Forecasted Calendar Month Usage'!$D$5:$D$41,'Jul17-Jun18 Retail'!$E33,'Forecasted Calendar Month Usage'!$AA$5:$AA$41)*10</f>
        <v>6990667.5763024837</v>
      </c>
      <c r="L33" s="25"/>
      <c r="M33" s="25"/>
      <c r="N33" s="26">
        <f>VLOOKUP($E33,'Retail Rates'!$B$7:$L$34,5,FALSE)</f>
        <v>13.5</v>
      </c>
      <c r="O33" s="26">
        <f>VLOOKUP($E33,'Retail Rates'!$B$7:$L$34,6,FALSE)</f>
        <v>0</v>
      </c>
      <c r="P33" s="27">
        <f>VLOOKUP($E33,'Retail Rates'!$B$7:$L$34,7,FALSE)</f>
        <v>0.28693000000000002</v>
      </c>
      <c r="Q33" s="27">
        <f>VLOOKUP($E33,'Retail Rates'!$B$7:$L$34,8,FALSE)</f>
        <v>0</v>
      </c>
      <c r="R33" s="27"/>
      <c r="S33" s="26">
        <f>VLOOKUP($E33,'Retail Rates'!$B$7:$L$34,9,FALSE)</f>
        <v>0</v>
      </c>
      <c r="T33" s="27">
        <f>VLOOKUP($E33,'Retail Rates'!$B$7:$L$34,10,FALSE)</f>
        <v>0</v>
      </c>
      <c r="U33" s="26">
        <f>VLOOKUP($E33,'Retail Rates'!$B$7:$L$34,11,FALSE)</f>
        <v>0</v>
      </c>
      <c r="V33" s="309"/>
      <c r="W33" s="28">
        <f t="shared" si="84"/>
        <v>3988170</v>
      </c>
      <c r="X33" s="28"/>
      <c r="Y33" s="28"/>
      <c r="Z33" s="28">
        <f t="shared" si="85"/>
        <v>2005832.2476684719</v>
      </c>
      <c r="AA33" s="28">
        <f t="shared" si="86"/>
        <v>0</v>
      </c>
      <c r="AB33" s="28">
        <f t="shared" si="87"/>
        <v>0</v>
      </c>
      <c r="AC33" s="28"/>
      <c r="AD33" s="28"/>
      <c r="AE33" s="28">
        <f t="shared" si="104"/>
        <v>0</v>
      </c>
      <c r="AF33" s="28">
        <f t="shared" ref="AF33" si="111">(+H33*V33)+(I33*V33)</f>
        <v>0</v>
      </c>
      <c r="AG33" s="48">
        <f ca="1">SUMIFS(Adjustments!H$5:H$557,Adjustments!$B$5:$B$557,'Jul17-Jun18 Retail'!$D33,Adjustments!$C$5:$C$557,'Jul17-Jun18 Retail'!$E33)</f>
        <v>0</v>
      </c>
      <c r="AH33" s="48">
        <f ca="1">SUMIFS(Adjustments!I$5:I$557,Adjustments!$B$5:$B$557,'Jul17-Jun18 Retail'!$D33,Adjustments!$C$5:$C$557,'Jul17-Jun18 Retail'!$E33)</f>
        <v>0</v>
      </c>
      <c r="AI33" s="40">
        <f ca="1">SUMIFS(Adjustments!J$5:J$557,Adjustments!$B$5:$B$557,'Jul17-Jun18 Retail'!$D33,Adjustments!$C$5:$C$557,'Jul17-Jun18 Retail'!$E33)</f>
        <v>0</v>
      </c>
      <c r="AJ33" s="40">
        <f ca="1">SUMIFS(Adjustments!K$5:K$557,Adjustments!$B$5:$B$557,'Jul17-Jun18 Retail'!$D33,Adjustments!$C$5:$C$557,'Jul17-Jun18 Retail'!$E33)</f>
        <v>0</v>
      </c>
      <c r="AK33" s="40">
        <f ca="1">SUMIFS(Adjustments!L$5:L$557,Adjustments!$B$5:$B$557,'Jul17-Jun18 Retail'!$D33,Adjustments!$C$5:$C$557,'Jul17-Jun18 Retail'!$E33)</f>
        <v>0</v>
      </c>
      <c r="AL33" s="40">
        <f ca="1">SUMIFS(Adjustments!M$5:M$557,Adjustments!$B$5:$B$557,'Jul17-Jun18 Retail'!$D33,Adjustments!$C$5:$C$557,'Jul17-Jun18 Retail'!$E33)</f>
        <v>0</v>
      </c>
      <c r="AM33" s="40">
        <f ca="1">SUMIFS(Adjustments!N$5:N$557,Adjustments!$B$5:$B$557,'Jul17-Jun18 Retail'!$D33,Adjustments!$C$5:$C$557,'Jul17-Jun18 Retail'!$E33)</f>
        <v>0</v>
      </c>
      <c r="AN33" s="40">
        <f ca="1">SUMIFS(Adjustments!O$5:O$557,Adjustments!$B$5:$B$557,'Jul17-Jun18 Retail'!$D33,Adjustments!$C$5:$C$557,'Jul17-Jun18 Retail'!$E33)</f>
        <v>0</v>
      </c>
      <c r="AO33" s="40">
        <f ca="1">SUMIFS(Adjustments!P$5:P$557,Adjustments!$B$5:$B$557,'Jul17-Jun18 Retail'!$D33,Adjustments!$C$5:$C$557,'Jul17-Jun18 Retail'!$E33)</f>
        <v>0</v>
      </c>
      <c r="AP33" s="28">
        <f t="shared" ref="AP33" ca="1" si="112">+W33+AI33+(AG33*N33)</f>
        <v>3988170</v>
      </c>
      <c r="AQ33" s="28">
        <f t="shared" ca="1" si="90"/>
        <v>0</v>
      </c>
      <c r="AR33" s="28">
        <f t="shared" ca="1" si="91"/>
        <v>2005832.2476684719</v>
      </c>
      <c r="AS33" s="28">
        <f t="shared" ca="1" si="92"/>
        <v>0</v>
      </c>
      <c r="AT33" s="35">
        <f t="shared" si="93"/>
        <v>1866366.1755541801</v>
      </c>
      <c r="AU33" s="35">
        <f t="shared" si="94"/>
        <v>167619.53825943702</v>
      </c>
      <c r="AV33" s="35"/>
      <c r="AW33" s="35">
        <f t="shared" si="95"/>
        <v>1839635.6897323101</v>
      </c>
      <c r="AX33" s="28">
        <f t="shared" ca="1" si="96"/>
        <v>0</v>
      </c>
      <c r="AY33" s="28"/>
      <c r="AZ33" s="35">
        <f t="shared" ref="AZ33" ca="1" si="113">ROUND(SUM(AP33:AY33),2)</f>
        <v>9867623.6500000004</v>
      </c>
      <c r="BA33" s="35">
        <f t="shared" ref="BA33" si="114">SUM(BC33:BJ33)-BF33</f>
        <v>9867623.6510892957</v>
      </c>
      <c r="BB33" s="36">
        <f t="shared" ca="1" si="98"/>
        <v>1</v>
      </c>
      <c r="BC33" s="35">
        <f>SUMIFS('Fin Forecast'!$N$3:$N$600,'Fin Forecast'!$B$3:$B$600,'Jul17-Jun18 Retail'!$E33,'Fin Forecast'!$C$3:$C$600,'Jul17-Jun18 Retail'!$BC$5)*1000</f>
        <v>167619.53825943702</v>
      </c>
      <c r="BD33" s="35">
        <f>SUMIFS('Fin Forecast'!$N$3:$N$600,'Fin Forecast'!$B$3:$B$600,'Jul17-Jun18 Retail'!$E33,'Fin Forecast'!$C$3:$C$600,'Jul17-Jun18 Retail'!$BD$5)*1000</f>
        <v>1866366.1755541801</v>
      </c>
      <c r="BE33" s="35"/>
      <c r="BF33" s="35"/>
      <c r="BG33" s="35">
        <f>SUMIFS('Fin Forecast'!$N$3:$N$600,'Fin Forecast'!$B$3:$B$600,'Jul17-Jun18 Retail'!$E33,'Fin Forecast'!$C$3:$C$600,'Jul17-Jun18 Retail'!$BG$5)*1000</f>
        <v>3988170</v>
      </c>
      <c r="BH33" s="35">
        <f>SUMIFS('Fin Forecast'!$N$3:$N$600,'Fin Forecast'!$B$3:$B$600,'Jul17-Jun18 Retail'!$E33,'Fin Forecast'!$C$3:$C$600,'Jul17-Jun18 Retail'!$BH$5)*1000</f>
        <v>2005832.2475433699</v>
      </c>
      <c r="BI33" s="35">
        <f>SUMIFS('Fin Forecast'!$N$3:$N$600,'Fin Forecast'!$B$3:$B$600,'Jul17-Jun18 Retail'!$E33,'Fin Forecast'!$C$3:$C$600,'Jul17-Jun18 Retail'!$BI$5)*1000</f>
        <v>0</v>
      </c>
      <c r="BJ33" s="35">
        <f>SUMIFS('Fin Forecast'!$N$3:$N$600,'Fin Forecast'!$B$3:$B$600,'Jul17-Jun18 Retail'!$E33,'Fin Forecast'!$C$3:$C$600,'Jul17-Jun18 Retail'!$BJ$5)*1000</f>
        <v>1839635.6897323101</v>
      </c>
      <c r="BL33" s="44">
        <f t="shared" ca="1" si="99"/>
        <v>-1.0892953723669052E-3</v>
      </c>
      <c r="BN33" s="49">
        <f t="shared" ca="1" si="100"/>
        <v>0</v>
      </c>
      <c r="BO33" s="49">
        <f t="shared" ca="1" si="101"/>
        <v>1.2510200031101704E-4</v>
      </c>
      <c r="BP33" s="49">
        <f t="shared" si="102"/>
        <v>0</v>
      </c>
    </row>
    <row r="34" spans="1:68" s="323" customFormat="1" ht="15" customHeight="1" x14ac:dyDescent="0.25">
      <c r="C34" s="324"/>
      <c r="D34" s="362"/>
      <c r="E34" s="362"/>
      <c r="F34" s="324"/>
      <c r="G34" s="324"/>
      <c r="H34" s="325"/>
      <c r="I34" s="325"/>
      <c r="J34" s="325"/>
      <c r="K34" s="325"/>
      <c r="L34" s="325"/>
      <c r="M34" s="325"/>
      <c r="N34" s="326"/>
      <c r="O34" s="326"/>
      <c r="P34" s="327"/>
      <c r="Q34" s="327"/>
      <c r="R34" s="327"/>
      <c r="S34" s="326"/>
      <c r="T34" s="327"/>
      <c r="U34" s="326"/>
      <c r="V34" s="328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30"/>
      <c r="AH34" s="330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31"/>
      <c r="BC34" s="329"/>
      <c r="BD34" s="329"/>
      <c r="BE34" s="329"/>
      <c r="BF34" s="329"/>
      <c r="BG34" s="329"/>
      <c r="BH34" s="329"/>
      <c r="BI34" s="329"/>
      <c r="BJ34" s="329"/>
      <c r="BL34" s="329"/>
      <c r="BN34" s="329"/>
      <c r="BO34" s="329"/>
      <c r="BP34" s="329"/>
    </row>
    <row r="35" spans="1:68" ht="15" customHeight="1" x14ac:dyDescent="0.25">
      <c r="C35" s="6">
        <f>C33+1</f>
        <v>25</v>
      </c>
      <c r="D35" s="361">
        <f>EDATE(D28,1)</f>
        <v>43040</v>
      </c>
      <c r="E35" s="361" t="str">
        <f>+'Retail Rates'!$B$7</f>
        <v>LGCMG865</v>
      </c>
      <c r="F35" s="6" t="str">
        <f>MID(E35,6,3)</f>
        <v>865</v>
      </c>
      <c r="G35" s="6" t="str">
        <f>VLOOKUP(E35,'Retail Rates'!$B$7:$D$34,3,FALSE)</f>
        <v>AAGS-C</v>
      </c>
      <c r="H35" s="25">
        <f>SUMIF('Forcasted Customer Cts'!$D$5:$D$36,'Jul17-Jun18 Retail'!$E35,'Forcasted Customer Cts'!$T$5:$T$36)</f>
        <v>4</v>
      </c>
      <c r="I35" s="25"/>
      <c r="J35" s="25"/>
      <c r="K35" s="25">
        <f>SUMIF('Forecasted Calendar Month Usage'!$D$5:$D$41,'Jul17-Jun18 Retail'!$E35,'Forecasted Calendar Month Usage'!$AB$5:$AB$41)*10</f>
        <v>131011.31347314804</v>
      </c>
      <c r="L35" s="25"/>
      <c r="M35" s="25"/>
      <c r="N35" s="26">
        <f>VLOOKUP($E35,'Retail Rates'!$B$7:$L$34,5,FALSE)</f>
        <v>400</v>
      </c>
      <c r="O35" s="26">
        <f>VLOOKUP($E35,'Retail Rates'!$B$7:$L$34,6,FALSE)</f>
        <v>0</v>
      </c>
      <c r="P35" s="27">
        <f>VLOOKUP($E35,'Retail Rates'!$B$7:$L$34,7,FALSE)</f>
        <v>7.009E-2</v>
      </c>
      <c r="Q35" s="27">
        <f>VLOOKUP($E35,'Retail Rates'!$B$7:$L$34,8,FALSE)</f>
        <v>0</v>
      </c>
      <c r="R35" s="27"/>
      <c r="S35" s="26">
        <f>VLOOKUP($E35,'Retail Rates'!$B$7:$L$34,9,FALSE)</f>
        <v>0</v>
      </c>
      <c r="T35" s="27">
        <f>VLOOKUP($E35,'Retail Rates'!$B$7:$L$34,10,FALSE)</f>
        <v>0</v>
      </c>
      <c r="U35" s="26">
        <f>VLOOKUP($E35,'Retail Rates'!$B$7:$L$34,11,FALSE)</f>
        <v>0</v>
      </c>
      <c r="V35" s="309"/>
      <c r="W35" s="28">
        <f t="shared" ref="W35:W40" si="115">(+H35*N35)+(I35*N35)</f>
        <v>1600</v>
      </c>
      <c r="X35" s="28"/>
      <c r="Y35" s="28"/>
      <c r="Z35" s="28">
        <f t="shared" ref="Z35:Z40" si="116">+K35*P35</f>
        <v>9182.5829613329461</v>
      </c>
      <c r="AA35" s="28">
        <f t="shared" ref="AA35:AA40" si="117">+L35*Q35</f>
        <v>0</v>
      </c>
      <c r="AB35" s="28">
        <f t="shared" ref="AB35:AB40" si="118">SUM(K35:L35)*R35</f>
        <v>0</v>
      </c>
      <c r="AC35" s="28"/>
      <c r="AD35" s="28"/>
      <c r="AE35" s="28">
        <f>M35*U35</f>
        <v>0</v>
      </c>
      <c r="AF35" s="28">
        <f t="shared" ref="AF35:AF38" si="119">(+H35*V35)+(I35*V35)</f>
        <v>0</v>
      </c>
      <c r="AG35" s="48">
        <f ca="1">SUMIFS(Adjustments!H$5:H$557,Adjustments!$B$5:$B$557,'Jul17-Jun18 Retail'!$D35,Adjustments!$C$5:$C$557,'Jul17-Jun18 Retail'!$E35)</f>
        <v>0</v>
      </c>
      <c r="AH35" s="48">
        <f ca="1">SUMIFS(Adjustments!I$5:I$557,Adjustments!$B$5:$B$557,'Jul17-Jun18 Retail'!$D35,Adjustments!$C$5:$C$557,'Jul17-Jun18 Retail'!$E35)</f>
        <v>0</v>
      </c>
      <c r="AI35" s="40">
        <f ca="1">SUMIFS(Adjustments!J$5:J$557,Adjustments!$B$5:$B$557,'Jul17-Jun18 Retail'!$D35,Adjustments!$C$5:$C$557,'Jul17-Jun18 Retail'!$E35)</f>
        <v>0</v>
      </c>
      <c r="AJ35" s="40">
        <f ca="1">SUMIFS(Adjustments!K$5:K$557,Adjustments!$B$5:$B$557,'Jul17-Jun18 Retail'!$D35,Adjustments!$C$5:$C$557,'Jul17-Jun18 Retail'!$E35)</f>
        <v>0</v>
      </c>
      <c r="AK35" s="40">
        <f ca="1">SUMIFS(Adjustments!L$5:L$557,Adjustments!$B$5:$B$557,'Jul17-Jun18 Retail'!$D35,Adjustments!$C$5:$C$557,'Jul17-Jun18 Retail'!$E35)</f>
        <v>0</v>
      </c>
      <c r="AL35" s="40">
        <f ca="1">SUMIFS(Adjustments!M$5:M$557,Adjustments!$B$5:$B$557,'Jul17-Jun18 Retail'!$D35,Adjustments!$C$5:$C$557,'Jul17-Jun18 Retail'!$E35)</f>
        <v>0</v>
      </c>
      <c r="AM35" s="40">
        <f ca="1">SUMIFS(Adjustments!N$5:N$557,Adjustments!$B$5:$B$557,'Jul17-Jun18 Retail'!$D35,Adjustments!$C$5:$C$557,'Jul17-Jun18 Retail'!$E35)</f>
        <v>0</v>
      </c>
      <c r="AN35" s="40">
        <f ca="1">SUMIFS(Adjustments!O$5:O$557,Adjustments!$B$5:$B$557,'Jul17-Jun18 Retail'!$D35,Adjustments!$C$5:$C$557,'Jul17-Jun18 Retail'!$E35)</f>
        <v>0</v>
      </c>
      <c r="AO35" s="40">
        <f ca="1">SUMIFS(Adjustments!P$5:P$557,Adjustments!$B$5:$B$557,'Jul17-Jun18 Retail'!$D35,Adjustments!$C$5:$C$557,'Jul17-Jun18 Retail'!$E35)</f>
        <v>0</v>
      </c>
      <c r="AP35" s="28">
        <f t="shared" ref="AP35:AP39" ca="1" si="120">+W35+AI35+(AG35*N35)</f>
        <v>1600</v>
      </c>
      <c r="AQ35" s="28">
        <f t="shared" ref="AQ35:AQ40" ca="1" si="121">+Y35+AJ35</f>
        <v>0</v>
      </c>
      <c r="AR35" s="28">
        <f t="shared" ref="AR35:AR40" ca="1" si="122">+Z35+AK35</f>
        <v>9182.5829613329461</v>
      </c>
      <c r="AS35" s="28">
        <f t="shared" ref="AS35:AS40" ca="1" si="123">+AA35+AL35</f>
        <v>0</v>
      </c>
      <c r="AT35" s="35">
        <f t="shared" ref="AT35:AT40" si="124">BD35</f>
        <v>47978.607891545507</v>
      </c>
      <c r="AU35" s="35">
        <f t="shared" ref="AU35:AU40" si="125">BC35</f>
        <v>696.16233479723496</v>
      </c>
      <c r="AV35" s="35"/>
      <c r="AW35" s="35">
        <f t="shared" ref="AW35:AW40" si="126">BJ35</f>
        <v>12100.969440036621</v>
      </c>
      <c r="AX35" s="28">
        <f t="shared" ref="AX35:AX40" ca="1" si="127">+AE35+AO35</f>
        <v>0</v>
      </c>
      <c r="AY35" s="28"/>
      <c r="AZ35" s="35">
        <f t="shared" ref="AZ35:AZ36" ca="1" si="128">ROUND(SUM(AP35:AY35),2)</f>
        <v>71558.320000000007</v>
      </c>
      <c r="BA35" s="35">
        <f>SUM(BC35:BJ35)-BF35</f>
        <v>71558.322627491667</v>
      </c>
      <c r="BB35" s="36">
        <f t="shared" ref="BB35:BB40" ca="1" si="129">IF(BA35=0,0,ROUND(BA35/AZ35,6))</f>
        <v>1</v>
      </c>
      <c r="BC35" s="35">
        <f>SUMIFS('Fin Forecast'!$O$3:$O$600,'Fin Forecast'!$B$3:$B$600,'Jul17-Jun18 Retail'!$E35,'Fin Forecast'!$C$3:$C$600,'Jul17-Jun18 Retail'!$BC$5)*1000</f>
        <v>696.16233479723496</v>
      </c>
      <c r="BD35" s="35">
        <f>SUMIFS('Fin Forecast'!$O$3:$O$600,'Fin Forecast'!$B$3:$B$600,'Jul17-Jun18 Retail'!$E35,'Fin Forecast'!$C$3:$C$600,'Jul17-Jun18 Retail'!$BD$5)*1000</f>
        <v>47978.607891545507</v>
      </c>
      <c r="BE35" s="35"/>
      <c r="BF35" s="35"/>
      <c r="BG35" s="35">
        <f>SUMIFS('Fin Forecast'!$O$3:$O$600,'Fin Forecast'!$B$3:$B$600,'Jul17-Jun18 Retail'!$E35,'Fin Forecast'!$C$3:$C$600,'Jul17-Jun18 Retail'!$BG$5)*1000</f>
        <v>1600</v>
      </c>
      <c r="BH35" s="35">
        <f>SUMIFS('Fin Forecast'!$O$3:$O$600,'Fin Forecast'!$B$3:$B$600,'Jul17-Jun18 Retail'!$E35,'Fin Forecast'!$C$3:$C$600,'Jul17-Jun18 Retail'!$BH$5)*1000</f>
        <v>9182.5829611123008</v>
      </c>
      <c r="BI35" s="35">
        <f>SUMIFS('Fin Forecast'!$O$3:$O$600,'Fin Forecast'!$B$3:$B$600,'Jul17-Jun18 Retail'!$E35,'Fin Forecast'!$C$3:$C$600,'Jul17-Jun18 Retail'!$BI$5)*1000</f>
        <v>0</v>
      </c>
      <c r="BJ35" s="35">
        <f>SUMIFS('Fin Forecast'!$O$3:$O$600,'Fin Forecast'!$B$3:$B$600,'Jul17-Jun18 Retail'!$E35,'Fin Forecast'!$C$3:$C$600,'Jul17-Jun18 Retail'!$BJ$5)*1000</f>
        <v>12100.969440036621</v>
      </c>
      <c r="BL35" s="44">
        <f t="shared" ref="BL35:BL40" ca="1" si="130">+AZ35-BA35</f>
        <v>-2.627491659950465E-3</v>
      </c>
      <c r="BN35" s="49">
        <f t="shared" ref="BN35:BN40" ca="1" si="131">+AP35+AQ35-BG35</f>
        <v>0</v>
      </c>
      <c r="BO35" s="49">
        <f t="shared" ref="BO35:BO40" ca="1" si="132">+AR35+AS35-BH35</f>
        <v>2.2064523363951594E-7</v>
      </c>
      <c r="BP35" s="49">
        <f t="shared" ref="BP35:BP40" si="133">+AT35-BD35</f>
        <v>0</v>
      </c>
    </row>
    <row r="36" spans="1:68" ht="15" customHeight="1" x14ac:dyDescent="0.25">
      <c r="C36" s="6">
        <f t="shared" ref="C36:C39" si="134">C35+1</f>
        <v>26</v>
      </c>
      <c r="D36" s="361">
        <f>$D$35</f>
        <v>43040</v>
      </c>
      <c r="E36" s="361" t="str">
        <f>+'Retail Rates'!$B$10</f>
        <v>LGING866</v>
      </c>
      <c r="F36" s="6" t="str">
        <f t="shared" ref="F36:F40" si="135">MID(E36,6,3)</f>
        <v>866</v>
      </c>
      <c r="G36" s="6" t="str">
        <f>VLOOKUP(E36,'Retail Rates'!$B$7:$D$34,3,FALSE)</f>
        <v>AAGS-I</v>
      </c>
      <c r="H36" s="25">
        <f>SUMIF('Forcasted Customer Cts'!$D$5:$D$36,'Jul17-Jun18 Retail'!$E36,'Forcasted Customer Cts'!$T$5:$T$36)</f>
        <v>0</v>
      </c>
      <c r="I36" s="25"/>
      <c r="J36" s="25"/>
      <c r="K36" s="25">
        <f>SUMIF('Forecasted Calendar Month Usage'!$D$5:$D$41,'Jul17-Jun18 Retail'!$E36,'Forecasted Calendar Month Usage'!$AB$5:$AB$41)*10</f>
        <v>0</v>
      </c>
      <c r="L36" s="25"/>
      <c r="M36" s="25"/>
      <c r="N36" s="26">
        <f>VLOOKUP($E36,'Retail Rates'!$B$7:$L$34,5,FALSE)</f>
        <v>400</v>
      </c>
      <c r="O36" s="26">
        <f>VLOOKUP($E36,'Retail Rates'!$B$7:$L$34,6,FALSE)</f>
        <v>0</v>
      </c>
      <c r="P36" s="27">
        <f>VLOOKUP($E36,'Retail Rates'!$B$7:$L$34,7,FALSE)</f>
        <v>7.009E-2</v>
      </c>
      <c r="Q36" s="27">
        <f>VLOOKUP($E36,'Retail Rates'!$B$7:$L$34,8,FALSE)</f>
        <v>0</v>
      </c>
      <c r="R36" s="27"/>
      <c r="S36" s="26">
        <f>VLOOKUP($E36,'Retail Rates'!$B$7:$L$34,9,FALSE)</f>
        <v>0</v>
      </c>
      <c r="T36" s="27">
        <f>VLOOKUP($E36,'Retail Rates'!$B$7:$L$34,10,FALSE)</f>
        <v>0</v>
      </c>
      <c r="U36" s="26">
        <f>VLOOKUP($E36,'Retail Rates'!$B$7:$L$34,11,FALSE)</f>
        <v>0</v>
      </c>
      <c r="V36" s="309"/>
      <c r="W36" s="28">
        <f t="shared" si="115"/>
        <v>0</v>
      </c>
      <c r="X36" s="28"/>
      <c r="Y36" s="28"/>
      <c r="Z36" s="28">
        <f t="shared" si="116"/>
        <v>0</v>
      </c>
      <c r="AA36" s="28">
        <f t="shared" si="117"/>
        <v>0</v>
      </c>
      <c r="AB36" s="28">
        <f t="shared" si="118"/>
        <v>0</v>
      </c>
      <c r="AC36" s="28"/>
      <c r="AD36" s="28"/>
      <c r="AE36" s="28">
        <f t="shared" ref="AE36:AE40" si="136">M36*U36</f>
        <v>0</v>
      </c>
      <c r="AF36" s="28">
        <f t="shared" si="119"/>
        <v>0</v>
      </c>
      <c r="AG36" s="48">
        <f ca="1">SUMIFS(Adjustments!H$5:H$557,Adjustments!$B$5:$B$557,'Jul17-Jun18 Retail'!$D36,Adjustments!$C$5:$C$557,'Jul17-Jun18 Retail'!$E36)</f>
        <v>0</v>
      </c>
      <c r="AH36" s="48">
        <f ca="1">SUMIFS(Adjustments!I$5:I$557,Adjustments!$B$5:$B$557,'Jul17-Jun18 Retail'!$D36,Adjustments!$C$5:$C$557,'Jul17-Jun18 Retail'!$E36)</f>
        <v>0</v>
      </c>
      <c r="AI36" s="40">
        <f ca="1">SUMIFS(Adjustments!J$5:J$557,Adjustments!$B$5:$B$557,'Jul17-Jun18 Retail'!$D36,Adjustments!$C$5:$C$557,'Jul17-Jun18 Retail'!$E36)</f>
        <v>0</v>
      </c>
      <c r="AJ36" s="40">
        <f ca="1">SUMIFS(Adjustments!K$5:K$557,Adjustments!$B$5:$B$557,'Jul17-Jun18 Retail'!$D36,Adjustments!$C$5:$C$557,'Jul17-Jun18 Retail'!$E36)</f>
        <v>0</v>
      </c>
      <c r="AK36" s="40">
        <f ca="1">SUMIFS(Adjustments!L$5:L$557,Adjustments!$B$5:$B$557,'Jul17-Jun18 Retail'!$D36,Adjustments!$C$5:$C$557,'Jul17-Jun18 Retail'!$E36)</f>
        <v>0</v>
      </c>
      <c r="AL36" s="40">
        <f ca="1">SUMIFS(Adjustments!M$5:M$557,Adjustments!$B$5:$B$557,'Jul17-Jun18 Retail'!$D36,Adjustments!$C$5:$C$557,'Jul17-Jun18 Retail'!$E36)</f>
        <v>0</v>
      </c>
      <c r="AM36" s="40">
        <f ca="1">SUMIFS(Adjustments!N$5:N$557,Adjustments!$B$5:$B$557,'Jul17-Jun18 Retail'!$D36,Adjustments!$C$5:$C$557,'Jul17-Jun18 Retail'!$E36)</f>
        <v>0</v>
      </c>
      <c r="AN36" s="40">
        <f ca="1">SUMIFS(Adjustments!O$5:O$557,Adjustments!$B$5:$B$557,'Jul17-Jun18 Retail'!$D36,Adjustments!$C$5:$C$557,'Jul17-Jun18 Retail'!$E36)</f>
        <v>0</v>
      </c>
      <c r="AO36" s="40">
        <f ca="1">SUMIFS(Adjustments!P$5:P$557,Adjustments!$B$5:$B$557,'Jul17-Jun18 Retail'!$D36,Adjustments!$C$5:$C$557,'Jul17-Jun18 Retail'!$E36)</f>
        <v>0</v>
      </c>
      <c r="AP36" s="28">
        <f t="shared" ca="1" si="120"/>
        <v>0</v>
      </c>
      <c r="AQ36" s="28">
        <f t="shared" ca="1" si="121"/>
        <v>0</v>
      </c>
      <c r="AR36" s="28">
        <f t="shared" ca="1" si="122"/>
        <v>0</v>
      </c>
      <c r="AS36" s="28">
        <f t="shared" ca="1" si="123"/>
        <v>0</v>
      </c>
      <c r="AT36" s="35">
        <f t="shared" si="124"/>
        <v>0</v>
      </c>
      <c r="AU36" s="35">
        <f t="shared" si="125"/>
        <v>0</v>
      </c>
      <c r="AV36" s="35"/>
      <c r="AW36" s="35">
        <f t="shared" si="126"/>
        <v>0</v>
      </c>
      <c r="AX36" s="28">
        <f t="shared" ca="1" si="127"/>
        <v>0</v>
      </c>
      <c r="AY36" s="28"/>
      <c r="AZ36" s="35">
        <f t="shared" ca="1" si="128"/>
        <v>0</v>
      </c>
      <c r="BA36" s="35">
        <f t="shared" ref="BA36" si="137">SUM(BC36:BJ36)-BF36</f>
        <v>0</v>
      </c>
      <c r="BB36" s="36">
        <f t="shared" si="129"/>
        <v>0</v>
      </c>
      <c r="BC36" s="35">
        <f>SUMIFS('Fin Forecast'!$O$3:$O$600,'Fin Forecast'!$B$3:$B$600,'Jul17-Jun18 Retail'!$E36,'Fin Forecast'!$C$3:$C$600,'Jul17-Jun18 Retail'!$BC$5)*1000</f>
        <v>0</v>
      </c>
      <c r="BD36" s="35">
        <f>SUMIFS('Fin Forecast'!$O$3:$O$600,'Fin Forecast'!$B$3:$B$600,'Jul17-Jun18 Retail'!$E36,'Fin Forecast'!$C$3:$C$600,'Jul17-Jun18 Retail'!$BD$5)*1000</f>
        <v>0</v>
      </c>
      <c r="BE36" s="35"/>
      <c r="BF36" s="35"/>
      <c r="BG36" s="35">
        <f>SUMIFS('Fin Forecast'!$O$3:$O$600,'Fin Forecast'!$B$3:$B$600,'Jul17-Jun18 Retail'!$E36,'Fin Forecast'!$C$3:$C$600,'Jul17-Jun18 Retail'!$BG$5)*1000</f>
        <v>0</v>
      </c>
      <c r="BH36" s="35">
        <f>SUMIFS('Fin Forecast'!$O$3:$O$600,'Fin Forecast'!$B$3:$B$600,'Jul17-Jun18 Retail'!$E36,'Fin Forecast'!$C$3:$C$600,'Jul17-Jun18 Retail'!$BH$5)*1000</f>
        <v>0</v>
      </c>
      <c r="BI36" s="35">
        <f>SUMIFS('Fin Forecast'!$O$3:$O$600,'Fin Forecast'!$B$3:$B$600,'Jul17-Jun18 Retail'!$E36,'Fin Forecast'!$C$3:$C$600,'Jul17-Jun18 Retail'!$BI$5)*1000</f>
        <v>0</v>
      </c>
      <c r="BJ36" s="35">
        <f>SUMIFS('Fin Forecast'!$O$3:$O$600,'Fin Forecast'!$B$3:$B$600,'Jul17-Jun18 Retail'!$E36,'Fin Forecast'!$C$3:$C$600,'Jul17-Jun18 Retail'!$BJ$5)*1000</f>
        <v>0</v>
      </c>
      <c r="BL36" s="44">
        <f t="shared" ca="1" si="130"/>
        <v>0</v>
      </c>
      <c r="BN36" s="49">
        <f t="shared" ca="1" si="131"/>
        <v>0</v>
      </c>
      <c r="BO36" s="49">
        <f t="shared" ca="1" si="132"/>
        <v>0</v>
      </c>
      <c r="BP36" s="49">
        <f t="shared" si="133"/>
        <v>0</v>
      </c>
    </row>
    <row r="37" spans="1:68" ht="15" x14ac:dyDescent="0.25">
      <c r="A37" s="304" t="s">
        <v>443</v>
      </c>
      <c r="B37" s="304" t="s">
        <v>444</v>
      </c>
      <c r="C37" s="6">
        <f>C36+1</f>
        <v>27</v>
      </c>
      <c r="D37" s="361">
        <f t="shared" ref="D37:D40" si="138">$D$35</f>
        <v>43040</v>
      </c>
      <c r="E37" s="361" t="str">
        <f>+'Retail Rates'!$B$15</f>
        <v>LGCMG851</v>
      </c>
      <c r="F37" s="6" t="str">
        <f t="shared" si="135"/>
        <v>851</v>
      </c>
      <c r="G37" s="6" t="str">
        <f>VLOOKUP(E37,'Retail Rates'!$B$7:$D$34,3,FALSE)</f>
        <v>CGS</v>
      </c>
      <c r="H37" s="25"/>
      <c r="I37" s="25">
        <f>SUMIFS('Forcasted Customer Cts'!$T$5:$T$36,'Forcasted Customer Cts'!$D$5:$D$36,'Jul17-Jun18 Retail'!$E37,'Forcasted Customer Cts'!$C$5:$C$36,'Jul17-Jun18 Retail'!$A$9)</f>
        <v>23956</v>
      </c>
      <c r="J37" s="25">
        <f>SUMIFS('Forcasted Customer Cts'!$T$5:$T$36,'Forcasted Customer Cts'!$D$5:$D$36,'Jul17-Jun18 Retail'!$E37,'Forcasted Customer Cts'!$C$5:$C$36,'Jul17-Jun18 Retail'!$B$9)</f>
        <v>998</v>
      </c>
      <c r="K37" s="25">
        <f>SUMIF('Forecasted Calendar Month Usage'!$D$5:$D$41,'Jul17-Jun18 Retail'!$E37,'Forecasted Calendar Month Usage'!$AB$5:$AB$41)*10</f>
        <v>8560468.2801400796</v>
      </c>
      <c r="L37" s="25"/>
      <c r="M37" s="25"/>
      <c r="N37" s="26">
        <f>VLOOKUP($E37,'Retail Rates'!$B$7:$L$34,5,FALSE)</f>
        <v>40</v>
      </c>
      <c r="O37" s="26">
        <f>VLOOKUP($E37,'Retail Rates'!$B$7:$L$34,6,FALSE)</f>
        <v>180</v>
      </c>
      <c r="P37" s="27">
        <f>VLOOKUP($E37,'Retail Rates'!$B$7:$L$34,7,FALSE)</f>
        <v>0.21504000000000001</v>
      </c>
      <c r="Q37" s="27">
        <f>VLOOKUP($E37,'Retail Rates'!$B$7:$L$34,8,FALSE)</f>
        <v>0.16504000000000002</v>
      </c>
      <c r="R37" s="27"/>
      <c r="S37" s="26">
        <f>VLOOKUP($E37,'Retail Rates'!$B$7:$L$34,9,FALSE)</f>
        <v>0</v>
      </c>
      <c r="T37" s="27">
        <f>VLOOKUP($E37,'Retail Rates'!$B$7:$L$34,10,FALSE)</f>
        <v>0</v>
      </c>
      <c r="U37" s="26">
        <f>VLOOKUP($E37,'Retail Rates'!$B$7:$L$34,11,FALSE)</f>
        <v>0</v>
      </c>
      <c r="V37" s="309"/>
      <c r="W37" s="28">
        <f t="shared" si="115"/>
        <v>958240</v>
      </c>
      <c r="X37" s="28"/>
      <c r="Y37" s="28">
        <f>+J37*O37</f>
        <v>179640</v>
      </c>
      <c r="Z37" s="28">
        <f t="shared" si="116"/>
        <v>1840843.0989613228</v>
      </c>
      <c r="AA37" s="28">
        <f t="shared" si="117"/>
        <v>0</v>
      </c>
      <c r="AB37" s="28">
        <f t="shared" si="118"/>
        <v>0</v>
      </c>
      <c r="AC37" s="28"/>
      <c r="AD37" s="28"/>
      <c r="AE37" s="28">
        <f t="shared" si="136"/>
        <v>0</v>
      </c>
      <c r="AF37" s="28">
        <f t="shared" si="119"/>
        <v>0</v>
      </c>
      <c r="AG37" s="48">
        <f ca="1">SUMIFS(Adjustments!H$5:H$557,Adjustments!$B$5:$B$557,'Jul17-Jun18 Retail'!$D37,Adjustments!$C$5:$C$557,'Jul17-Jun18 Retail'!$E37)</f>
        <v>0</v>
      </c>
      <c r="AH37" s="48">
        <f ca="1">SUMIFS(Adjustments!I$5:I$557,Adjustments!$B$5:$B$557,'Jul17-Jun18 Retail'!$D37,Adjustments!$C$5:$C$557,'Jul17-Jun18 Retail'!$E37)</f>
        <v>0</v>
      </c>
      <c r="AI37" s="40">
        <f ca="1">SUMIFS(Adjustments!J$5:J$557,Adjustments!$B$5:$B$557,'Jul17-Jun18 Retail'!$D37,Adjustments!$C$5:$C$557,'Jul17-Jun18 Retail'!$E37)</f>
        <v>0</v>
      </c>
      <c r="AJ37" s="40">
        <f ca="1">SUMIFS(Adjustments!K$5:K$557,Adjustments!$B$5:$B$557,'Jul17-Jun18 Retail'!$D37,Adjustments!$C$5:$C$557,'Jul17-Jun18 Retail'!$E37)</f>
        <v>0</v>
      </c>
      <c r="AK37" s="40">
        <f ca="1">SUMIFS(Adjustments!L$5:L$557,Adjustments!$B$5:$B$557,'Jul17-Jun18 Retail'!$D37,Adjustments!$C$5:$C$557,'Jul17-Jun18 Retail'!$E37)</f>
        <v>0</v>
      </c>
      <c r="AL37" s="40">
        <f ca="1">SUMIFS(Adjustments!M$5:M$557,Adjustments!$B$5:$B$557,'Jul17-Jun18 Retail'!$D37,Adjustments!$C$5:$C$557,'Jul17-Jun18 Retail'!$E37)</f>
        <v>0</v>
      </c>
      <c r="AM37" s="40">
        <f ca="1">SUMIFS(Adjustments!N$5:N$557,Adjustments!$B$5:$B$557,'Jul17-Jun18 Retail'!$D37,Adjustments!$C$5:$C$557,'Jul17-Jun18 Retail'!$E37)</f>
        <v>0</v>
      </c>
      <c r="AN37" s="40">
        <f ca="1">SUMIFS(Adjustments!O$5:O$557,Adjustments!$B$5:$B$557,'Jul17-Jun18 Retail'!$D37,Adjustments!$C$5:$C$557,'Jul17-Jun18 Retail'!$E37)</f>
        <v>0</v>
      </c>
      <c r="AO37" s="40">
        <f ca="1">SUMIFS(Adjustments!P$5:P$557,Adjustments!$B$5:$B$557,'Jul17-Jun18 Retail'!$D37,Adjustments!$C$5:$C$557,'Jul17-Jun18 Retail'!$E37)</f>
        <v>0</v>
      </c>
      <c r="AP37" s="28">
        <f t="shared" ca="1" si="120"/>
        <v>958240</v>
      </c>
      <c r="AQ37" s="28">
        <f t="shared" ca="1" si="121"/>
        <v>179640</v>
      </c>
      <c r="AR37" s="28">
        <f t="shared" ca="1" si="122"/>
        <v>1840843.0989613228</v>
      </c>
      <c r="AS37" s="28">
        <f t="shared" ca="1" si="123"/>
        <v>0</v>
      </c>
      <c r="AT37" s="35">
        <f t="shared" si="124"/>
        <v>3134991.4757618397</v>
      </c>
      <c r="AU37" s="35">
        <f t="shared" si="125"/>
        <v>96582.612841490089</v>
      </c>
      <c r="AV37" s="35"/>
      <c r="AW37" s="35">
        <f t="shared" si="126"/>
        <v>782852.23380529729</v>
      </c>
      <c r="AX37" s="28">
        <f t="shared" ca="1" si="127"/>
        <v>0</v>
      </c>
      <c r="AY37" s="28"/>
      <c r="AZ37" s="35">
        <f t="shared" ref="AZ37:AZ39" ca="1" si="139">ROUND(SUM(AP37:AY37),2)</f>
        <v>6993149.4199999999</v>
      </c>
      <c r="BA37" s="35">
        <f t="shared" ref="BA37:BA39" si="140">SUM(BC37:BJ37)-BF37</f>
        <v>6993149.4212621953</v>
      </c>
      <c r="BB37" s="36">
        <f t="shared" ca="1" si="129"/>
        <v>1</v>
      </c>
      <c r="BC37" s="35">
        <f>SUMIFS('Fin Forecast'!$O$3:$O$600,'Fin Forecast'!$B$3:$B$600,'Jul17-Jun18 Retail'!$E37,'Fin Forecast'!$C$3:$C$600,'Jul17-Jun18 Retail'!$BC$5)*1000</f>
        <v>96582.612841490089</v>
      </c>
      <c r="BD37" s="35">
        <f>SUMIFS('Fin Forecast'!$O$3:$O$600,'Fin Forecast'!$B$3:$B$600,'Jul17-Jun18 Retail'!$E37,'Fin Forecast'!$C$3:$C$600,'Jul17-Jun18 Retail'!$BD$5)*1000</f>
        <v>3134991.4757618397</v>
      </c>
      <c r="BE37" s="35"/>
      <c r="BF37" s="35"/>
      <c r="BG37" s="35">
        <f>SUMIFS('Fin Forecast'!$O$3:$O$600,'Fin Forecast'!$B$3:$B$600,'Jul17-Jun18 Retail'!$E37,'Fin Forecast'!$C$3:$C$600,'Jul17-Jun18 Retail'!$BG$5)*1000</f>
        <v>1137879.9999999998</v>
      </c>
      <c r="BH37" s="35">
        <f>SUMIFS('Fin Forecast'!$O$3:$O$600,'Fin Forecast'!$B$3:$B$600,'Jul17-Jun18 Retail'!$E37,'Fin Forecast'!$C$3:$C$600,'Jul17-Jun18 Retail'!$BH$5)*1000</f>
        <v>1840843.0988535688</v>
      </c>
      <c r="BI37" s="35">
        <f>SUMIFS('Fin Forecast'!$O$3:$O$600,'Fin Forecast'!$B$3:$B$600,'Jul17-Jun18 Retail'!$E37,'Fin Forecast'!$C$3:$C$600,'Jul17-Jun18 Retail'!$BI$5)*1000</f>
        <v>0</v>
      </c>
      <c r="BJ37" s="35">
        <f>SUMIFS('Fin Forecast'!$O$3:$O$600,'Fin Forecast'!$B$3:$B$600,'Jul17-Jun18 Retail'!$E37,'Fin Forecast'!$C$3:$C$600,'Jul17-Jun18 Retail'!$BJ$5)*1000</f>
        <v>782852.23380529729</v>
      </c>
      <c r="BL37" s="44">
        <f t="shared" ca="1" si="130"/>
        <v>-1.2621954083442688E-3</v>
      </c>
      <c r="BN37" s="49">
        <f t="shared" ca="1" si="131"/>
        <v>0</v>
      </c>
      <c r="BO37" s="49">
        <f t="shared" ca="1" si="132"/>
        <v>1.0775402188301086E-4</v>
      </c>
      <c r="BP37" s="49">
        <f t="shared" si="133"/>
        <v>0</v>
      </c>
    </row>
    <row r="38" spans="1:68" ht="15" customHeight="1" x14ac:dyDescent="0.25">
      <c r="A38" s="304"/>
      <c r="B38" s="304"/>
      <c r="C38" s="6">
        <f>C37+1</f>
        <v>28</v>
      </c>
      <c r="D38" s="361">
        <f t="shared" si="138"/>
        <v>43040</v>
      </c>
      <c r="E38" s="361" t="str">
        <f>+'Retail Rates'!$B$20</f>
        <v>LGCMG875</v>
      </c>
      <c r="F38" s="6" t="str">
        <f t="shared" si="135"/>
        <v>875</v>
      </c>
      <c r="G38" s="6" t="str">
        <f>VLOOKUP(E38,'Retail Rates'!$B$7:$D$34,3,FALSE)</f>
        <v>DGGS-C</v>
      </c>
      <c r="H38" s="25">
        <v>1</v>
      </c>
      <c r="I38" s="25"/>
      <c r="J38" s="25"/>
      <c r="K38" s="25">
        <v>6</v>
      </c>
      <c r="L38" s="25"/>
      <c r="M38" s="25">
        <v>483</v>
      </c>
      <c r="N38" s="26">
        <f>VLOOKUP($E38,'Retail Rates'!$B$7:$L$34,5,FALSE)</f>
        <v>40</v>
      </c>
      <c r="O38" s="26">
        <f>VLOOKUP($E38,'Retail Rates'!$B$7:$L$34,6,FALSE)</f>
        <v>180</v>
      </c>
      <c r="P38" s="27">
        <f>VLOOKUP($E38,'Retail Rates'!$B$7:$L$34,7,FALSE)</f>
        <v>3.329E-2</v>
      </c>
      <c r="Q38" s="27">
        <f>VLOOKUP($E38,'Retail Rates'!$B$7:$L$34,8,FALSE)</f>
        <v>0</v>
      </c>
      <c r="R38" s="27"/>
      <c r="S38" s="26">
        <f>VLOOKUP($E38,'Retail Rates'!$B$7:$L$34,9,FALSE)</f>
        <v>0</v>
      </c>
      <c r="T38" s="27">
        <f>VLOOKUP($E38,'Retail Rates'!$B$7:$L$34,10,FALSE)</f>
        <v>0</v>
      </c>
      <c r="U38" s="403">
        <f>VLOOKUP($E38,'Retail Rates'!$B$7:$L$34,11,FALSE)</f>
        <v>1.1263000000000001</v>
      </c>
      <c r="V38" s="309"/>
      <c r="W38" s="28">
        <f t="shared" si="115"/>
        <v>40</v>
      </c>
      <c r="X38" s="28"/>
      <c r="Y38" s="28"/>
      <c r="Z38" s="28">
        <f t="shared" si="116"/>
        <v>0.19974</v>
      </c>
      <c r="AA38" s="28">
        <f t="shared" si="117"/>
        <v>0</v>
      </c>
      <c r="AB38" s="28">
        <f t="shared" si="118"/>
        <v>0</v>
      </c>
      <c r="AC38" s="28"/>
      <c r="AD38" s="28"/>
      <c r="AE38" s="28">
        <f t="shared" si="136"/>
        <v>544.00290000000007</v>
      </c>
      <c r="AF38" s="28">
        <f t="shared" si="119"/>
        <v>0</v>
      </c>
      <c r="AG38" s="48">
        <f ca="1">SUMIFS(Adjustments!H$5:H$557,Adjustments!$B$5:$B$557,'Jul17-Jun18 Retail'!$D38,Adjustments!$C$5:$C$557,'Jul17-Jun18 Retail'!$E38)</f>
        <v>0</v>
      </c>
      <c r="AH38" s="48">
        <f ca="1">SUMIFS(Adjustments!I$5:I$557,Adjustments!$B$5:$B$557,'Jul17-Jun18 Retail'!$D38,Adjustments!$C$5:$C$557,'Jul17-Jun18 Retail'!$E38)</f>
        <v>0</v>
      </c>
      <c r="AI38" s="40">
        <f ca="1">SUMIFS(Adjustments!J$5:J$557,Adjustments!$B$5:$B$557,'Jul17-Jun18 Retail'!$D38,Adjustments!$C$5:$C$557,'Jul17-Jun18 Retail'!$E38)</f>
        <v>0</v>
      </c>
      <c r="AJ38" s="40">
        <f ca="1">SUMIFS(Adjustments!K$5:K$557,Adjustments!$B$5:$B$557,'Jul17-Jun18 Retail'!$D38,Adjustments!$C$5:$C$557,'Jul17-Jun18 Retail'!$E38)</f>
        <v>0</v>
      </c>
      <c r="AK38" s="40">
        <f ca="1">SUMIFS(Adjustments!L$5:L$557,Adjustments!$B$5:$B$557,'Jul17-Jun18 Retail'!$D38,Adjustments!$C$5:$C$557,'Jul17-Jun18 Retail'!$E38)</f>
        <v>0</v>
      </c>
      <c r="AL38" s="40">
        <f ca="1">SUMIFS(Adjustments!M$5:M$557,Adjustments!$B$5:$B$557,'Jul17-Jun18 Retail'!$D38,Adjustments!$C$5:$C$557,'Jul17-Jun18 Retail'!$E38)</f>
        <v>0</v>
      </c>
      <c r="AM38" s="40">
        <f ca="1">SUMIFS(Adjustments!N$5:N$557,Adjustments!$B$5:$B$557,'Jul17-Jun18 Retail'!$D38,Adjustments!$C$5:$C$557,'Jul17-Jun18 Retail'!$E38)</f>
        <v>0</v>
      </c>
      <c r="AN38" s="40">
        <f ca="1">SUMIFS(Adjustments!O$5:O$557,Adjustments!$B$5:$B$557,'Jul17-Jun18 Retail'!$D38,Adjustments!$C$5:$C$557,'Jul17-Jun18 Retail'!$E38)</f>
        <v>0</v>
      </c>
      <c r="AO38" s="40">
        <f ca="1">SUMIFS(Adjustments!P$5:P$557,Adjustments!$B$5:$B$557,'Jul17-Jun18 Retail'!$D38,Adjustments!$C$5:$C$557,'Jul17-Jun18 Retail'!$E38)</f>
        <v>0</v>
      </c>
      <c r="AP38" s="28">
        <f t="shared" ca="1" si="120"/>
        <v>40</v>
      </c>
      <c r="AQ38" s="28">
        <f t="shared" ca="1" si="121"/>
        <v>0</v>
      </c>
      <c r="AR38" s="28">
        <f t="shared" ca="1" si="122"/>
        <v>0.19974</v>
      </c>
      <c r="AS38" s="28">
        <f t="shared" ca="1" si="123"/>
        <v>0</v>
      </c>
      <c r="AT38" s="35">
        <f t="shared" si="124"/>
        <v>2.1973037268662399</v>
      </c>
      <c r="AU38" s="35">
        <f t="shared" si="125"/>
        <v>6.7694389853329207E-2</v>
      </c>
      <c r="AV38" s="35"/>
      <c r="AW38" s="35">
        <f t="shared" si="126"/>
        <v>0</v>
      </c>
      <c r="AX38" s="28">
        <f t="shared" ca="1" si="127"/>
        <v>544.00290000000007</v>
      </c>
      <c r="AY38" s="28"/>
      <c r="AZ38" s="35">
        <f t="shared" ca="1" si="139"/>
        <v>586.47</v>
      </c>
      <c r="BA38" s="35">
        <f t="shared" si="140"/>
        <v>586.46763811671951</v>
      </c>
      <c r="BB38" s="36">
        <f t="shared" ca="1" si="129"/>
        <v>0.999996</v>
      </c>
      <c r="BC38" s="35">
        <f>SUMIFS('Fin Forecast'!$O$3:$O$600,'Fin Forecast'!$B$3:$B$600,'Jul17-Jun18 Retail'!$E38,'Fin Forecast'!$C$3:$C$600,'Jul17-Jun18 Retail'!$BC$5)*1000</f>
        <v>6.7694389853329207E-2</v>
      </c>
      <c r="BD38" s="35">
        <f>SUMIFS('Fin Forecast'!$O$3:$O$600,'Fin Forecast'!$B$3:$B$600,'Jul17-Jun18 Retail'!$E38,'Fin Forecast'!$C$3:$C$600,'Jul17-Jun18 Retail'!$BD$5)*1000</f>
        <v>2.1973037268662399</v>
      </c>
      <c r="BE38" s="35"/>
      <c r="BF38" s="35"/>
      <c r="BG38" s="35">
        <f>SUMIFS('Fin Forecast'!$O$3:$O$600,'Fin Forecast'!$B$3:$B$600,'Jul17-Jun18 Retail'!$E38,'Fin Forecast'!$C$3:$C$600,'Jul17-Jun18 Retail'!$BG$5)*1000</f>
        <v>40</v>
      </c>
      <c r="BH38" s="35">
        <f>SUMIFS('Fin Forecast'!$O$3:$O$600,'Fin Forecast'!$B$3:$B$600,'Jul17-Jun18 Retail'!$E38,'Fin Forecast'!$C$3:$C$600,'Jul17-Jun18 Retail'!$BH$5)*1000</f>
        <v>0.199739999999999</v>
      </c>
      <c r="BI38" s="35">
        <f>SUMIFS('Fin Forecast'!$O$3:$O$600,'Fin Forecast'!$B$3:$B$600,'Jul17-Jun18 Retail'!$E38,'Fin Forecast'!$C$3:$C$600,'Jul17-Jun18 Retail'!$BI$5)*1000</f>
        <v>544.00289999999995</v>
      </c>
      <c r="BJ38" s="35">
        <f>SUMIFS('Fin Forecast'!$O$3:$O$600,'Fin Forecast'!$B$3:$B$600,'Jul17-Jun18 Retail'!$E38,'Fin Forecast'!$C$3:$C$600,'Jul17-Jun18 Retail'!$BJ$5)*1000</f>
        <v>0</v>
      </c>
      <c r="BL38" s="44">
        <f t="shared" ca="1" si="130"/>
        <v>2.361883280514121E-3</v>
      </c>
      <c r="BN38" s="49">
        <f t="shared" ca="1" si="131"/>
        <v>0</v>
      </c>
      <c r="BO38" s="49">
        <f t="shared" ca="1" si="132"/>
        <v>9.9920072216264089E-16</v>
      </c>
      <c r="BP38" s="49">
        <f t="shared" si="133"/>
        <v>0</v>
      </c>
    </row>
    <row r="39" spans="1:68" ht="15" customHeight="1" x14ac:dyDescent="0.25">
      <c r="A39" s="418" t="s">
        <v>637</v>
      </c>
      <c r="C39" s="6">
        <f t="shared" si="134"/>
        <v>29</v>
      </c>
      <c r="D39" s="361">
        <f t="shared" si="138"/>
        <v>43040</v>
      </c>
      <c r="E39" s="361" t="str">
        <f>+'Retail Rates'!$B$26</f>
        <v>LGING855</v>
      </c>
      <c r="F39" s="6" t="str">
        <f t="shared" si="135"/>
        <v>855</v>
      </c>
      <c r="G39" s="6" t="s">
        <v>111</v>
      </c>
      <c r="H39" s="25"/>
      <c r="I39" s="25">
        <f>SUMIFS('Forcasted Customer Cts'!$T$5:$T$36,'Forcasted Customer Cts'!$D$5:$D$36,'Jul17-Jun18 Retail'!$E39,'Forcasted Customer Cts'!$C$5:$C$36,'Jul17-Jun18 Retail'!$A$9)</f>
        <v>146</v>
      </c>
      <c r="J39" s="25">
        <f>SUMIFS('Forcasted Customer Cts'!$T$5:$T$36,'Forcasted Customer Cts'!$D$5:$D$36,'Jul17-Jun18 Retail'!$E39,'Forcasted Customer Cts'!$C$5:$C$36,'Jul17-Jun18 Retail'!$B$9)</f>
        <v>114</v>
      </c>
      <c r="K39" s="25">
        <f>SUMIF('Forecasted Calendar Month Usage'!$D$5:$D$41,'Jul17-Jun18 Retail'!$E39,'Forecasted Calendar Month Usage'!$AB$5:$AB$41)*10</f>
        <v>1523589.002778627</v>
      </c>
      <c r="L39" s="25"/>
      <c r="M39" s="25"/>
      <c r="N39" s="26">
        <f>VLOOKUP($E39,'Retail Rates'!$B$7:$L$34,5,FALSE)</f>
        <v>40</v>
      </c>
      <c r="O39" s="26">
        <f>VLOOKUP($E39,'Retail Rates'!$B$7:$L$34,6,FALSE)</f>
        <v>180</v>
      </c>
      <c r="P39" s="27">
        <f>VLOOKUP($E39,'Retail Rates'!$B$7:$L$34,7,FALSE)</f>
        <v>0.22778999999999999</v>
      </c>
      <c r="Q39" s="27">
        <f>VLOOKUP($E39,'Retail Rates'!$B$7:$L$34,8,FALSE)</f>
        <v>0.17779</v>
      </c>
      <c r="R39" s="27"/>
      <c r="S39" s="26">
        <f>VLOOKUP($E39,'Retail Rates'!$B$7:$L$34,9,FALSE)</f>
        <v>0</v>
      </c>
      <c r="T39" s="27">
        <f>VLOOKUP($E39,'Retail Rates'!$B$7:$L$34,10,FALSE)</f>
        <v>0</v>
      </c>
      <c r="U39" s="26">
        <f>VLOOKUP($E39,'Retail Rates'!$B$7:$L$34,11,FALSE)</f>
        <v>0</v>
      </c>
      <c r="V39" s="309"/>
      <c r="W39" s="28">
        <f t="shared" si="115"/>
        <v>5840</v>
      </c>
      <c r="X39" s="28"/>
      <c r="Y39" s="28">
        <f t="shared" ref="Y39" si="141">+J39*O39</f>
        <v>20520</v>
      </c>
      <c r="Z39" s="28">
        <f t="shared" si="116"/>
        <v>347058.33894294343</v>
      </c>
      <c r="AA39" s="28">
        <f t="shared" si="117"/>
        <v>0</v>
      </c>
      <c r="AB39" s="28">
        <f t="shared" si="118"/>
        <v>0</v>
      </c>
      <c r="AC39" s="28"/>
      <c r="AD39" s="28"/>
      <c r="AE39" s="28">
        <f t="shared" si="136"/>
        <v>0</v>
      </c>
      <c r="AF39" s="28">
        <f>(+I39*V39)+(J39*V39)</f>
        <v>0</v>
      </c>
      <c r="AG39" s="48">
        <f ca="1">SUMIFS(Adjustments!H$5:H$557,Adjustments!$B$5:$B$557,'Jul17-Jun18 Retail'!$D39,Adjustments!$C$5:$C$557,'Jul17-Jun18 Retail'!$E39)</f>
        <v>0</v>
      </c>
      <c r="AH39" s="48">
        <f ca="1">SUMIFS(Adjustments!I$5:I$557,Adjustments!$B$5:$B$557,'Jul17-Jun18 Retail'!$D39,Adjustments!$C$5:$C$557,'Jul17-Jun18 Retail'!$E39)</f>
        <v>0</v>
      </c>
      <c r="AI39" s="40">
        <f ca="1">SUMIFS(Adjustments!J$5:J$557,Adjustments!$B$5:$B$557,'Jul17-Jun18 Retail'!$D39,Adjustments!$C$5:$C$557,'Jul17-Jun18 Retail'!$E39)</f>
        <v>0</v>
      </c>
      <c r="AJ39" s="40">
        <f ca="1">SUMIFS(Adjustments!K$5:K$557,Adjustments!$B$5:$B$557,'Jul17-Jun18 Retail'!$D39,Adjustments!$C$5:$C$557,'Jul17-Jun18 Retail'!$E39)</f>
        <v>0</v>
      </c>
      <c r="AK39" s="40">
        <f ca="1">SUMIFS(Adjustments!L$5:L$557,Adjustments!$B$5:$B$557,'Jul17-Jun18 Retail'!$D39,Adjustments!$C$5:$C$557,'Jul17-Jun18 Retail'!$E39)</f>
        <v>0</v>
      </c>
      <c r="AL39" s="40">
        <f ca="1">SUMIFS(Adjustments!M$5:M$557,Adjustments!$B$5:$B$557,'Jul17-Jun18 Retail'!$D39,Adjustments!$C$5:$C$557,'Jul17-Jun18 Retail'!$E39)</f>
        <v>0</v>
      </c>
      <c r="AM39" s="40">
        <f ca="1">SUMIFS(Adjustments!N$5:N$557,Adjustments!$B$5:$B$557,'Jul17-Jun18 Retail'!$D39,Adjustments!$C$5:$C$557,'Jul17-Jun18 Retail'!$E39)</f>
        <v>0</v>
      </c>
      <c r="AN39" s="40">
        <f ca="1">SUMIFS(Adjustments!O$5:O$557,Adjustments!$B$5:$B$557,'Jul17-Jun18 Retail'!$D39,Adjustments!$C$5:$C$557,'Jul17-Jun18 Retail'!$E39)</f>
        <v>0</v>
      </c>
      <c r="AO39" s="40">
        <f ca="1">SUMIFS(Adjustments!P$5:P$557,Adjustments!$B$5:$B$557,'Jul17-Jun18 Retail'!$D39,Adjustments!$C$5:$C$557,'Jul17-Jun18 Retail'!$E39)</f>
        <v>0</v>
      </c>
      <c r="AP39" s="28">
        <f t="shared" ca="1" si="120"/>
        <v>5840</v>
      </c>
      <c r="AQ39" s="28">
        <f t="shared" ca="1" si="121"/>
        <v>20520</v>
      </c>
      <c r="AR39" s="28">
        <f t="shared" ca="1" si="122"/>
        <v>347058.33894294343</v>
      </c>
      <c r="AS39" s="28">
        <f t="shared" ca="1" si="123"/>
        <v>0</v>
      </c>
      <c r="AT39" s="35">
        <f t="shared" si="124"/>
        <v>557964.63231850951</v>
      </c>
      <c r="AU39" s="35">
        <f t="shared" si="125"/>
        <v>0</v>
      </c>
      <c r="AV39" s="35"/>
      <c r="AW39" s="35">
        <f t="shared" si="126"/>
        <v>66610.972197091964</v>
      </c>
      <c r="AX39" s="28">
        <f t="shared" ca="1" si="127"/>
        <v>0</v>
      </c>
      <c r="AY39" s="28"/>
      <c r="AZ39" s="35">
        <f t="shared" ca="1" si="139"/>
        <v>997993.94</v>
      </c>
      <c r="BA39" s="35">
        <f t="shared" si="140"/>
        <v>997993.94344746741</v>
      </c>
      <c r="BB39" s="36">
        <f t="shared" ca="1" si="129"/>
        <v>1</v>
      </c>
      <c r="BC39" s="35">
        <f>SUMIFS('Fin Forecast'!$O$3:$O$600,'Fin Forecast'!$B$3:$B$600,'Jul17-Jun18 Retail'!$E39,'Fin Forecast'!$C$3:$C$600,'Jul17-Jun18 Retail'!$BC$5)*1000</f>
        <v>0</v>
      </c>
      <c r="BD39" s="35">
        <f>SUMIFS('Fin Forecast'!$O$3:$O$600,'Fin Forecast'!$B$3:$B$600,'Jul17-Jun18 Retail'!$E39,'Fin Forecast'!$C$3:$C$600,'Jul17-Jun18 Retail'!$BD$5)*1000</f>
        <v>557964.63231850951</v>
      </c>
      <c r="BE39" s="35"/>
      <c r="BF39" s="35"/>
      <c r="BG39" s="35">
        <f>SUMIFS('Fin Forecast'!$O$3:$O$600,'Fin Forecast'!$B$3:$B$600,'Jul17-Jun18 Retail'!$E39,'Fin Forecast'!$C$3:$C$600,'Jul17-Jun18 Retail'!$BG$5)*1000</f>
        <v>26360</v>
      </c>
      <c r="BH39" s="35">
        <f>SUMIFS('Fin Forecast'!$O$3:$O$600,'Fin Forecast'!$B$3:$B$600,'Jul17-Jun18 Retail'!$E39,'Fin Forecast'!$C$3:$C$600,'Jul17-Jun18 Retail'!$BH$5)*1000</f>
        <v>347058.33893186599</v>
      </c>
      <c r="BI39" s="35">
        <f>SUMIFS('Fin Forecast'!$O$3:$O$600,'Fin Forecast'!$B$3:$B$600,'Jul17-Jun18 Retail'!$E39,'Fin Forecast'!$C$3:$C$600,'Jul17-Jun18 Retail'!$BI$5)*1000</f>
        <v>0</v>
      </c>
      <c r="BJ39" s="35">
        <f>SUMIFS('Fin Forecast'!$O$3:$O$600,'Fin Forecast'!$B$3:$B$600,'Jul17-Jun18 Retail'!$E39,'Fin Forecast'!$C$3:$C$600,'Jul17-Jun18 Retail'!$BJ$5)*1000</f>
        <v>66610.972197091964</v>
      </c>
      <c r="BL39" s="44">
        <f t="shared" ca="1" si="130"/>
        <v>-3.4474674612283707E-3</v>
      </c>
      <c r="BN39" s="49">
        <f t="shared" ca="1" si="131"/>
        <v>0</v>
      </c>
      <c r="BO39" s="49">
        <f t="shared" ca="1" si="132"/>
        <v>1.1077441740781069E-5</v>
      </c>
      <c r="BP39" s="49">
        <f t="shared" si="133"/>
        <v>0</v>
      </c>
    </row>
    <row r="40" spans="1:68" ht="15" customHeight="1" x14ac:dyDescent="0.25">
      <c r="C40" s="6">
        <f>C39+1</f>
        <v>30</v>
      </c>
      <c r="D40" s="361">
        <f t="shared" si="138"/>
        <v>43040</v>
      </c>
      <c r="E40" s="361" t="str">
        <f>+'Retail Rates'!$B$31</f>
        <v>LGRSG811</v>
      </c>
      <c r="F40" s="6" t="str">
        <f t="shared" si="135"/>
        <v>811</v>
      </c>
      <c r="G40" s="6" t="str">
        <f>VLOOKUP(E40,'Retail Rates'!$B$7:$D$34,3,FALSE)</f>
        <v>RGS</v>
      </c>
      <c r="H40" s="25">
        <f>SUMIF('Forcasted Customer Cts'!$D$5:$D$36,'Jul17-Jun18 Retail'!$E40,'Forcasted Customer Cts'!$T$5:$T$36)</f>
        <v>295562</v>
      </c>
      <c r="I40" s="25"/>
      <c r="J40" s="25"/>
      <c r="K40" s="25">
        <f>SUMIF('Forecasted Calendar Month Usage'!$D$5:$D$41,'Jul17-Jun18 Retail'!$E40,'Forecasted Calendar Month Usage'!$AB$5:$AB$41)*10</f>
        <v>18199080.548454396</v>
      </c>
      <c r="L40" s="25"/>
      <c r="M40" s="25"/>
      <c r="N40" s="26">
        <f>VLOOKUP($E40,'Retail Rates'!$B$7:$L$34,5,FALSE)</f>
        <v>13.5</v>
      </c>
      <c r="O40" s="26">
        <f>VLOOKUP($E40,'Retail Rates'!$B$7:$L$34,6,FALSE)</f>
        <v>0</v>
      </c>
      <c r="P40" s="27">
        <f>VLOOKUP($E40,'Retail Rates'!$B$7:$L$34,7,FALSE)</f>
        <v>0.28693000000000002</v>
      </c>
      <c r="Q40" s="27">
        <f>VLOOKUP($E40,'Retail Rates'!$B$7:$L$34,8,FALSE)</f>
        <v>0</v>
      </c>
      <c r="R40" s="27"/>
      <c r="S40" s="26">
        <f>VLOOKUP($E40,'Retail Rates'!$B$7:$L$34,9,FALSE)</f>
        <v>0</v>
      </c>
      <c r="T40" s="27">
        <f>VLOOKUP($E40,'Retail Rates'!$B$7:$L$34,10,FALSE)</f>
        <v>0</v>
      </c>
      <c r="U40" s="26">
        <f>VLOOKUP($E40,'Retail Rates'!$B$7:$L$34,11,FALSE)</f>
        <v>0</v>
      </c>
      <c r="V40" s="309"/>
      <c r="W40" s="28">
        <f t="shared" si="115"/>
        <v>3990087</v>
      </c>
      <c r="X40" s="28"/>
      <c r="Y40" s="28"/>
      <c r="Z40" s="28">
        <f t="shared" si="116"/>
        <v>5221862.1817680206</v>
      </c>
      <c r="AA40" s="28">
        <f t="shared" si="117"/>
        <v>0</v>
      </c>
      <c r="AB40" s="28">
        <f t="shared" si="118"/>
        <v>0</v>
      </c>
      <c r="AC40" s="28"/>
      <c r="AD40" s="28"/>
      <c r="AE40" s="28">
        <f t="shared" si="136"/>
        <v>0</v>
      </c>
      <c r="AF40" s="28">
        <f t="shared" ref="AF40" si="142">(+H40*V40)+(I40*V40)</f>
        <v>0</v>
      </c>
      <c r="AG40" s="48">
        <f ca="1">SUMIFS(Adjustments!H$5:H$557,Adjustments!$B$5:$B$557,'Jul17-Jun18 Retail'!$D40,Adjustments!$C$5:$C$557,'Jul17-Jun18 Retail'!$E40)</f>
        <v>0</v>
      </c>
      <c r="AH40" s="48">
        <f ca="1">SUMIFS(Adjustments!I$5:I$557,Adjustments!$B$5:$B$557,'Jul17-Jun18 Retail'!$D40,Adjustments!$C$5:$C$557,'Jul17-Jun18 Retail'!$E40)</f>
        <v>0</v>
      </c>
      <c r="AI40" s="40">
        <f ca="1">SUMIFS(Adjustments!J$5:J$557,Adjustments!$B$5:$B$557,'Jul17-Jun18 Retail'!$D40,Adjustments!$C$5:$C$557,'Jul17-Jun18 Retail'!$E40)</f>
        <v>0</v>
      </c>
      <c r="AJ40" s="40">
        <f ca="1">SUMIFS(Adjustments!K$5:K$557,Adjustments!$B$5:$B$557,'Jul17-Jun18 Retail'!$D40,Adjustments!$C$5:$C$557,'Jul17-Jun18 Retail'!$E40)</f>
        <v>0</v>
      </c>
      <c r="AK40" s="40">
        <f ca="1">SUMIFS(Adjustments!L$5:L$557,Adjustments!$B$5:$B$557,'Jul17-Jun18 Retail'!$D40,Adjustments!$C$5:$C$557,'Jul17-Jun18 Retail'!$E40)</f>
        <v>0</v>
      </c>
      <c r="AL40" s="40">
        <f ca="1">SUMIFS(Adjustments!M$5:M$557,Adjustments!$B$5:$B$557,'Jul17-Jun18 Retail'!$D40,Adjustments!$C$5:$C$557,'Jul17-Jun18 Retail'!$E40)</f>
        <v>0</v>
      </c>
      <c r="AM40" s="40">
        <f ca="1">SUMIFS(Adjustments!N$5:N$557,Adjustments!$B$5:$B$557,'Jul17-Jun18 Retail'!$D40,Adjustments!$C$5:$C$557,'Jul17-Jun18 Retail'!$E40)</f>
        <v>0</v>
      </c>
      <c r="AN40" s="40">
        <f ca="1">SUMIFS(Adjustments!O$5:O$557,Adjustments!$B$5:$B$557,'Jul17-Jun18 Retail'!$D40,Adjustments!$C$5:$C$557,'Jul17-Jun18 Retail'!$E40)</f>
        <v>0</v>
      </c>
      <c r="AO40" s="40">
        <f ca="1">SUMIFS(Adjustments!P$5:P$557,Adjustments!$B$5:$B$557,'Jul17-Jun18 Retail'!$D40,Adjustments!$C$5:$C$557,'Jul17-Jun18 Retail'!$E40)</f>
        <v>0</v>
      </c>
      <c r="AP40" s="28">
        <f t="shared" ref="AP40" ca="1" si="143">+W40+AI40+(AG40*N40)</f>
        <v>3990087</v>
      </c>
      <c r="AQ40" s="28">
        <f t="shared" ca="1" si="121"/>
        <v>0</v>
      </c>
      <c r="AR40" s="28">
        <f t="shared" ca="1" si="122"/>
        <v>5221862.1817680206</v>
      </c>
      <c r="AS40" s="28">
        <f t="shared" ca="1" si="123"/>
        <v>0</v>
      </c>
      <c r="AT40" s="35">
        <f t="shared" si="124"/>
        <v>6664817.9178007105</v>
      </c>
      <c r="AU40" s="35">
        <f t="shared" si="125"/>
        <v>205329.27556287602</v>
      </c>
      <c r="AV40" s="35"/>
      <c r="AW40" s="35">
        <f t="shared" si="126"/>
        <v>1825052.5293411398</v>
      </c>
      <c r="AX40" s="28">
        <f t="shared" ca="1" si="127"/>
        <v>0</v>
      </c>
      <c r="AY40" s="28"/>
      <c r="AZ40" s="35">
        <f t="shared" ref="AZ40" ca="1" si="144">ROUND(SUM(AP40:AY40),2)</f>
        <v>17907148.899999999</v>
      </c>
      <c r="BA40" s="35">
        <f t="shared" ref="BA40" si="145">SUM(BC40:BJ40)-BF40</f>
        <v>17907148.903447196</v>
      </c>
      <c r="BB40" s="36">
        <f t="shared" ca="1" si="129"/>
        <v>1</v>
      </c>
      <c r="BC40" s="35">
        <f>SUMIFS('Fin Forecast'!$O$3:$O$600,'Fin Forecast'!$B$3:$B$600,'Jul17-Jun18 Retail'!$E40,'Fin Forecast'!$C$3:$C$600,'Jul17-Jun18 Retail'!$BC$5)*1000</f>
        <v>205329.27556287602</v>
      </c>
      <c r="BD40" s="35">
        <f>SUMIFS('Fin Forecast'!$O$3:$O$600,'Fin Forecast'!$B$3:$B$600,'Jul17-Jun18 Retail'!$E40,'Fin Forecast'!$C$3:$C$600,'Jul17-Jun18 Retail'!$BD$5)*1000</f>
        <v>6664817.9178007105</v>
      </c>
      <c r="BE40" s="35"/>
      <c r="BF40" s="35"/>
      <c r="BG40" s="35">
        <f>SUMIFS('Fin Forecast'!$O$3:$O$600,'Fin Forecast'!$B$3:$B$600,'Jul17-Jun18 Retail'!$E40,'Fin Forecast'!$C$3:$C$600,'Jul17-Jun18 Retail'!$BG$5)*1000</f>
        <v>3990087</v>
      </c>
      <c r="BH40" s="35">
        <f>SUMIFS('Fin Forecast'!$O$3:$O$600,'Fin Forecast'!$B$3:$B$600,'Jul17-Jun18 Retail'!$E40,'Fin Forecast'!$C$3:$C$600,'Jul17-Jun18 Retail'!$BH$5)*1000</f>
        <v>5221862.1807424696</v>
      </c>
      <c r="BI40" s="35">
        <f>SUMIFS('Fin Forecast'!$O$3:$O$600,'Fin Forecast'!$B$3:$B$600,'Jul17-Jun18 Retail'!$E40,'Fin Forecast'!$C$3:$C$600,'Jul17-Jun18 Retail'!$BI$5)*1000</f>
        <v>0</v>
      </c>
      <c r="BJ40" s="35">
        <f>SUMIFS('Fin Forecast'!$O$3:$O$600,'Fin Forecast'!$B$3:$B$600,'Jul17-Jun18 Retail'!$E40,'Fin Forecast'!$C$3:$C$600,'Jul17-Jun18 Retail'!$BJ$5)*1000</f>
        <v>1825052.5293411398</v>
      </c>
      <c r="BL40" s="44">
        <f t="shared" ca="1" si="130"/>
        <v>-3.4471973776817322E-3</v>
      </c>
      <c r="BN40" s="49">
        <f t="shared" ca="1" si="131"/>
        <v>0</v>
      </c>
      <c r="BO40" s="49">
        <f t="shared" ca="1" si="132"/>
        <v>1.0255509987473488E-3</v>
      </c>
      <c r="BP40" s="49">
        <f t="shared" si="133"/>
        <v>0</v>
      </c>
    </row>
    <row r="41" spans="1:68" s="323" customFormat="1" ht="15" customHeight="1" x14ac:dyDescent="0.25">
      <c r="C41" s="324"/>
      <c r="D41" s="362"/>
      <c r="E41" s="362"/>
      <c r="F41" s="324"/>
      <c r="G41" s="324"/>
      <c r="H41" s="325"/>
      <c r="I41" s="325"/>
      <c r="J41" s="325"/>
      <c r="K41" s="325"/>
      <c r="L41" s="325"/>
      <c r="M41" s="325"/>
      <c r="N41" s="326"/>
      <c r="O41" s="326"/>
      <c r="P41" s="327"/>
      <c r="Q41" s="327"/>
      <c r="R41" s="327"/>
      <c r="S41" s="326"/>
      <c r="T41" s="327"/>
      <c r="U41" s="326"/>
      <c r="V41" s="328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30"/>
      <c r="AH41" s="330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31"/>
      <c r="BC41" s="329"/>
      <c r="BD41" s="329"/>
      <c r="BE41" s="329"/>
      <c r="BF41" s="329"/>
      <c r="BG41" s="329"/>
      <c r="BH41" s="329"/>
      <c r="BI41" s="329"/>
      <c r="BJ41" s="329"/>
      <c r="BL41" s="329"/>
      <c r="BN41" s="329"/>
      <c r="BO41" s="329"/>
      <c r="BP41" s="329"/>
    </row>
    <row r="42" spans="1:68" ht="15" x14ac:dyDescent="0.25">
      <c r="C42" s="6">
        <f>C40+1</f>
        <v>31</v>
      </c>
      <c r="D42" s="361">
        <f>EDATE(D35,1)</f>
        <v>43070</v>
      </c>
      <c r="E42" s="361" t="str">
        <f>+'Retail Rates'!$B$7</f>
        <v>LGCMG865</v>
      </c>
      <c r="F42" s="6" t="str">
        <f>MID(E42,6,3)</f>
        <v>865</v>
      </c>
      <c r="G42" s="6" t="str">
        <f>VLOOKUP(E42,'Retail Rates'!$B$7:$D$34,3,FALSE)</f>
        <v>AAGS-C</v>
      </c>
      <c r="H42" s="25">
        <f>SUMIF('Forcasted Customer Cts'!$D$5:$D$36,'Jul17-Jun18 Retail'!$E42,'Forcasted Customer Cts'!$U$5:$U$36)</f>
        <v>4</v>
      </c>
      <c r="I42" s="25"/>
      <c r="J42" s="25"/>
      <c r="K42" s="25">
        <f>SUMIF('Forecasted Calendar Month Usage'!$D$5:$D$41,'Jul17-Jun18 Retail'!$E42,'Forecasted Calendar Month Usage'!$AC$5:$AC$41)*10</f>
        <v>116973.22792824851</v>
      </c>
      <c r="L42" s="25"/>
      <c r="M42" s="25"/>
      <c r="N42" s="26">
        <f>VLOOKUP($E42,'Retail Rates'!$B$7:$L$34,5,FALSE)</f>
        <v>400</v>
      </c>
      <c r="O42" s="26">
        <f>VLOOKUP($E42,'Retail Rates'!$B$7:$L$34,6,FALSE)</f>
        <v>0</v>
      </c>
      <c r="P42" s="27">
        <f>VLOOKUP($E42,'Retail Rates'!$B$7:$L$34,7,FALSE)</f>
        <v>7.009E-2</v>
      </c>
      <c r="Q42" s="27">
        <f>VLOOKUP($E42,'Retail Rates'!$B$7:$L$34,8,FALSE)</f>
        <v>0</v>
      </c>
      <c r="R42" s="27"/>
      <c r="S42" s="26">
        <f>VLOOKUP($E42,'Retail Rates'!$B$7:$L$34,9,FALSE)</f>
        <v>0</v>
      </c>
      <c r="T42" s="27">
        <f>VLOOKUP($E42,'Retail Rates'!$B$7:$L$34,10,FALSE)</f>
        <v>0</v>
      </c>
      <c r="U42" s="26">
        <f>VLOOKUP($E42,'Retail Rates'!$B$7:$L$34,11,FALSE)</f>
        <v>0</v>
      </c>
      <c r="V42" s="309"/>
      <c r="W42" s="28">
        <f t="shared" ref="W42:W47" si="146">(+H42*N42)+(I42*N42)</f>
        <v>1600</v>
      </c>
      <c r="X42" s="28"/>
      <c r="Y42" s="28"/>
      <c r="Z42" s="28">
        <f t="shared" ref="Z42:Z47" si="147">+K42*P42</f>
        <v>8198.6535454909372</v>
      </c>
      <c r="AA42" s="28">
        <f t="shared" ref="AA42:AA47" si="148">+L42*Q42</f>
        <v>0</v>
      </c>
      <c r="AB42" s="28">
        <f t="shared" ref="AB42:AB47" si="149">SUM(K42:L42)*R42</f>
        <v>0</v>
      </c>
      <c r="AC42" s="28"/>
      <c r="AD42" s="28"/>
      <c r="AE42" s="28">
        <f>M42*U42</f>
        <v>0</v>
      </c>
      <c r="AF42" s="28">
        <f t="shared" ref="AF42:AF45" si="150">(+H42*V42)+(I42*V42)</f>
        <v>0</v>
      </c>
      <c r="AG42" s="48">
        <f ca="1">SUMIFS(Adjustments!H$5:H$557,Adjustments!$B$5:$B$557,'Jul17-Jun18 Retail'!$D42,Adjustments!$C$5:$C$557,'Jul17-Jun18 Retail'!$E42)</f>
        <v>0</v>
      </c>
      <c r="AH42" s="48">
        <f ca="1">SUMIFS(Adjustments!I$5:I$557,Adjustments!$B$5:$B$557,'Jul17-Jun18 Retail'!$D42,Adjustments!$C$5:$C$557,'Jul17-Jun18 Retail'!$E42)</f>
        <v>0</v>
      </c>
      <c r="AI42" s="40">
        <f ca="1">SUMIFS(Adjustments!J$5:J$557,Adjustments!$B$5:$B$557,'Jul17-Jun18 Retail'!$D42,Adjustments!$C$5:$C$557,'Jul17-Jun18 Retail'!$E42)</f>
        <v>0</v>
      </c>
      <c r="AJ42" s="40">
        <f ca="1">SUMIFS(Adjustments!K$5:K$557,Adjustments!$B$5:$B$557,'Jul17-Jun18 Retail'!$D42,Adjustments!$C$5:$C$557,'Jul17-Jun18 Retail'!$E42)</f>
        <v>0</v>
      </c>
      <c r="AK42" s="40">
        <f ca="1">SUMIFS(Adjustments!L$5:L$557,Adjustments!$B$5:$B$557,'Jul17-Jun18 Retail'!$D42,Adjustments!$C$5:$C$557,'Jul17-Jun18 Retail'!$E42)</f>
        <v>0</v>
      </c>
      <c r="AL42" s="40">
        <f ca="1">SUMIFS(Adjustments!M$5:M$557,Adjustments!$B$5:$B$557,'Jul17-Jun18 Retail'!$D42,Adjustments!$C$5:$C$557,'Jul17-Jun18 Retail'!$E42)</f>
        <v>0</v>
      </c>
      <c r="AM42" s="40">
        <f ca="1">SUMIFS(Adjustments!N$5:N$557,Adjustments!$B$5:$B$557,'Jul17-Jun18 Retail'!$D42,Adjustments!$C$5:$C$557,'Jul17-Jun18 Retail'!$E42)</f>
        <v>0</v>
      </c>
      <c r="AN42" s="40">
        <f ca="1">SUMIFS(Adjustments!O$5:O$557,Adjustments!$B$5:$B$557,'Jul17-Jun18 Retail'!$D42,Adjustments!$C$5:$C$557,'Jul17-Jun18 Retail'!$E42)</f>
        <v>0</v>
      </c>
      <c r="AO42" s="40">
        <f ca="1">SUMIFS(Adjustments!P$5:P$557,Adjustments!$B$5:$B$557,'Jul17-Jun18 Retail'!$D42,Adjustments!$C$5:$C$557,'Jul17-Jun18 Retail'!$E42)</f>
        <v>0</v>
      </c>
      <c r="AP42" s="28">
        <f t="shared" ref="AP42:AP46" ca="1" si="151">+W42+AI42+(AG42*N42)</f>
        <v>1600</v>
      </c>
      <c r="AQ42" s="28">
        <f t="shared" ref="AQ42:AQ47" ca="1" si="152">+Y42+AJ42</f>
        <v>0</v>
      </c>
      <c r="AR42" s="28">
        <f t="shared" ref="AR42:AR47" ca="1" si="153">+Z42+AK42</f>
        <v>8198.6535454909372</v>
      </c>
      <c r="AS42" s="28">
        <f t="shared" ref="AS42:AS47" ca="1" si="154">+AA42+AL42</f>
        <v>0</v>
      </c>
      <c r="AT42" s="35">
        <f t="shared" ref="AT42:AT47" si="155">BD42</f>
        <v>46259.658654476494</v>
      </c>
      <c r="AU42" s="35">
        <f t="shared" ref="AU42:AU47" si="156">BC42</f>
        <v>257.97979850099102</v>
      </c>
      <c r="AV42" s="35"/>
      <c r="AW42" s="35">
        <f t="shared" ref="AW42:AW47" si="157">BJ42</f>
        <v>13258.44663766938</v>
      </c>
      <c r="AX42" s="28">
        <f t="shared" ref="AX42:AX47" ca="1" si="158">+AE42+AO42</f>
        <v>0</v>
      </c>
      <c r="AY42" s="28"/>
      <c r="AZ42" s="35">
        <f t="shared" ref="AZ42:AZ43" ca="1" si="159">ROUND(SUM(AP42:AY42),2)</f>
        <v>69574.740000000005</v>
      </c>
      <c r="BA42" s="35">
        <f>SUM(BC42:BJ42)-BF42</f>
        <v>69574.73863562975</v>
      </c>
      <c r="BB42" s="36">
        <f t="shared" ref="BB42:BB47" ca="1" si="160">IF(BA42=0,0,ROUND(BA42/AZ42,6))</f>
        <v>1</v>
      </c>
      <c r="BC42" s="35">
        <f>SUMIFS('Fin Forecast'!$P$3:$P$600,'Fin Forecast'!$B$3:$B$600,'Jul17-Jun18 Retail'!$E42,'Fin Forecast'!$C$3:$C$600,'Jul17-Jun18 Retail'!$BC$5)*1000</f>
        <v>257.97979850099102</v>
      </c>
      <c r="BD42" s="35">
        <f>SUMIFS('Fin Forecast'!$P$3:$P$600,'Fin Forecast'!$B$3:$B$600,'Jul17-Jun18 Retail'!$E42,'Fin Forecast'!$C$3:$C$600,'Jul17-Jun18 Retail'!$BD$5)*1000</f>
        <v>46259.658654476494</v>
      </c>
      <c r="BE42" s="35"/>
      <c r="BF42" s="35"/>
      <c r="BG42" s="35">
        <f>SUMIFS('Fin Forecast'!$P$3:$P$600,'Fin Forecast'!$B$3:$B$600,'Jul17-Jun18 Retail'!$E42,'Fin Forecast'!$C$3:$C$600,'Jul17-Jun18 Retail'!$BG$5)*1000</f>
        <v>1600</v>
      </c>
      <c r="BH42" s="35">
        <f>SUMIFS('Fin Forecast'!$P$3:$P$600,'Fin Forecast'!$B$3:$B$600,'Jul17-Jun18 Retail'!$E42,'Fin Forecast'!$C$3:$C$600,'Jul17-Jun18 Retail'!$BH$5)*1000</f>
        <v>8198.6535449828898</v>
      </c>
      <c r="BI42" s="35">
        <f>SUMIFS('Fin Forecast'!$P$3:$P$600,'Fin Forecast'!$B$3:$B$600,'Jul17-Jun18 Retail'!$E42,'Fin Forecast'!$C$3:$C$600,'Jul17-Jun18 Retail'!$BI$5)*1000</f>
        <v>0</v>
      </c>
      <c r="BJ42" s="35">
        <f>SUMIFS('Fin Forecast'!$P$3:$P$600,'Fin Forecast'!$B$3:$B$600,'Jul17-Jun18 Retail'!$E42,'Fin Forecast'!$C$3:$C$600,'Jul17-Jun18 Retail'!$BJ$5)*1000</f>
        <v>13258.44663766938</v>
      </c>
      <c r="BL42" s="44">
        <f t="shared" ref="BL42:BL47" ca="1" si="161">+AZ42-BA42</f>
        <v>1.3643702550325543E-3</v>
      </c>
      <c r="BN42" s="49">
        <f t="shared" ref="BN42:BN47" ca="1" si="162">+AP42+AQ42-BG42</f>
        <v>0</v>
      </c>
      <c r="BO42" s="49">
        <f t="shared" ref="BO42:BO47" ca="1" si="163">+AR42+AS42-BH42</f>
        <v>5.0804737838916481E-7</v>
      </c>
      <c r="BP42" s="49">
        <f t="shared" ref="BP42:BP47" si="164">+AT42-BD42</f>
        <v>0</v>
      </c>
    </row>
    <row r="43" spans="1:68" ht="15" x14ac:dyDescent="0.25">
      <c r="C43" s="6">
        <f>C42+1</f>
        <v>32</v>
      </c>
      <c r="D43" s="361">
        <f>$D$42</f>
        <v>43070</v>
      </c>
      <c r="E43" s="361" t="str">
        <f>+'Retail Rates'!$B$10</f>
        <v>LGING866</v>
      </c>
      <c r="F43" s="6" t="str">
        <f t="shared" ref="F43:F47" si="165">MID(E43,6,3)</f>
        <v>866</v>
      </c>
      <c r="G43" s="6" t="str">
        <f>VLOOKUP(E43,'Retail Rates'!$B$7:$D$34,3,FALSE)</f>
        <v>AAGS-I</v>
      </c>
      <c r="H43" s="25">
        <f>SUMIF('Forcasted Customer Cts'!$D$5:$D$36,'Jul17-Jun18 Retail'!$E43,'Forcasted Customer Cts'!$U$5:$U$36)</f>
        <v>0</v>
      </c>
      <c r="I43" s="25"/>
      <c r="J43" s="25"/>
      <c r="K43" s="25">
        <f>SUMIF('Forecasted Calendar Month Usage'!$D$5:$D$41,'Jul17-Jun18 Retail'!$E43,'Forecasted Calendar Month Usage'!$AC$5:$AC$41)*10</f>
        <v>0</v>
      </c>
      <c r="L43" s="25"/>
      <c r="M43" s="25"/>
      <c r="N43" s="26">
        <f>VLOOKUP($E43,'Retail Rates'!$B$7:$L$34,5,FALSE)</f>
        <v>400</v>
      </c>
      <c r="O43" s="26">
        <f>VLOOKUP($E43,'Retail Rates'!$B$7:$L$34,6,FALSE)</f>
        <v>0</v>
      </c>
      <c r="P43" s="27">
        <f>VLOOKUP($E43,'Retail Rates'!$B$7:$L$34,7,FALSE)</f>
        <v>7.009E-2</v>
      </c>
      <c r="Q43" s="27">
        <f>VLOOKUP($E43,'Retail Rates'!$B$7:$L$34,8,FALSE)</f>
        <v>0</v>
      </c>
      <c r="R43" s="27"/>
      <c r="S43" s="26">
        <f>VLOOKUP($E43,'Retail Rates'!$B$7:$L$34,9,FALSE)</f>
        <v>0</v>
      </c>
      <c r="T43" s="27">
        <f>VLOOKUP($E43,'Retail Rates'!$B$7:$L$34,10,FALSE)</f>
        <v>0</v>
      </c>
      <c r="U43" s="26">
        <f>VLOOKUP($E43,'Retail Rates'!$B$7:$L$34,11,FALSE)</f>
        <v>0</v>
      </c>
      <c r="V43" s="309"/>
      <c r="W43" s="28">
        <f t="shared" si="146"/>
        <v>0</v>
      </c>
      <c r="X43" s="28"/>
      <c r="Y43" s="28"/>
      <c r="Z43" s="28">
        <f t="shared" si="147"/>
        <v>0</v>
      </c>
      <c r="AA43" s="28">
        <f t="shared" si="148"/>
        <v>0</v>
      </c>
      <c r="AB43" s="28">
        <f t="shared" si="149"/>
        <v>0</v>
      </c>
      <c r="AC43" s="28"/>
      <c r="AD43" s="28"/>
      <c r="AE43" s="28">
        <f t="shared" ref="AE43:AE47" si="166">M43*U43</f>
        <v>0</v>
      </c>
      <c r="AF43" s="28">
        <f t="shared" si="150"/>
        <v>0</v>
      </c>
      <c r="AG43" s="48">
        <f ca="1">SUMIFS(Adjustments!H$5:H$557,Adjustments!$B$5:$B$557,'Jul17-Jun18 Retail'!$D43,Adjustments!$C$5:$C$557,'Jul17-Jun18 Retail'!$E43)</f>
        <v>0</v>
      </c>
      <c r="AH43" s="48">
        <f ca="1">SUMIFS(Adjustments!I$5:I$557,Adjustments!$B$5:$B$557,'Jul17-Jun18 Retail'!$D43,Adjustments!$C$5:$C$557,'Jul17-Jun18 Retail'!$E43)</f>
        <v>0</v>
      </c>
      <c r="AI43" s="40">
        <f ca="1">SUMIFS(Adjustments!J$5:J$557,Adjustments!$B$5:$B$557,'Jul17-Jun18 Retail'!$D43,Adjustments!$C$5:$C$557,'Jul17-Jun18 Retail'!$E43)</f>
        <v>0</v>
      </c>
      <c r="AJ43" s="40">
        <f ca="1">SUMIFS(Adjustments!K$5:K$557,Adjustments!$B$5:$B$557,'Jul17-Jun18 Retail'!$D43,Adjustments!$C$5:$C$557,'Jul17-Jun18 Retail'!$E43)</f>
        <v>0</v>
      </c>
      <c r="AK43" s="40">
        <f ca="1">SUMIFS(Adjustments!L$5:L$557,Adjustments!$B$5:$B$557,'Jul17-Jun18 Retail'!$D43,Adjustments!$C$5:$C$557,'Jul17-Jun18 Retail'!$E43)</f>
        <v>0</v>
      </c>
      <c r="AL43" s="40">
        <f ca="1">SUMIFS(Adjustments!M$5:M$557,Adjustments!$B$5:$B$557,'Jul17-Jun18 Retail'!$D43,Adjustments!$C$5:$C$557,'Jul17-Jun18 Retail'!$E43)</f>
        <v>0</v>
      </c>
      <c r="AM43" s="40">
        <f ca="1">SUMIFS(Adjustments!N$5:N$557,Adjustments!$B$5:$B$557,'Jul17-Jun18 Retail'!$D43,Adjustments!$C$5:$C$557,'Jul17-Jun18 Retail'!$E43)</f>
        <v>0</v>
      </c>
      <c r="AN43" s="40">
        <f ca="1">SUMIFS(Adjustments!O$5:O$557,Adjustments!$B$5:$B$557,'Jul17-Jun18 Retail'!$D43,Adjustments!$C$5:$C$557,'Jul17-Jun18 Retail'!$E43)</f>
        <v>0</v>
      </c>
      <c r="AO43" s="40">
        <f ca="1">SUMIFS(Adjustments!P$5:P$557,Adjustments!$B$5:$B$557,'Jul17-Jun18 Retail'!$D43,Adjustments!$C$5:$C$557,'Jul17-Jun18 Retail'!$E43)</f>
        <v>0</v>
      </c>
      <c r="AP43" s="28">
        <f t="shared" ca="1" si="151"/>
        <v>0</v>
      </c>
      <c r="AQ43" s="28">
        <f t="shared" ca="1" si="152"/>
        <v>0</v>
      </c>
      <c r="AR43" s="28">
        <f t="shared" ca="1" si="153"/>
        <v>0</v>
      </c>
      <c r="AS43" s="28">
        <f t="shared" ca="1" si="154"/>
        <v>0</v>
      </c>
      <c r="AT43" s="35">
        <f t="shared" si="155"/>
        <v>0</v>
      </c>
      <c r="AU43" s="35">
        <f t="shared" si="156"/>
        <v>0</v>
      </c>
      <c r="AV43" s="35"/>
      <c r="AW43" s="35">
        <f t="shared" si="157"/>
        <v>0</v>
      </c>
      <c r="AX43" s="28">
        <f t="shared" ca="1" si="158"/>
        <v>0</v>
      </c>
      <c r="AY43" s="28"/>
      <c r="AZ43" s="35">
        <f t="shared" ca="1" si="159"/>
        <v>0</v>
      </c>
      <c r="BA43" s="35">
        <f t="shared" ref="BA43" si="167">SUM(BC43:BJ43)-BF43</f>
        <v>0</v>
      </c>
      <c r="BB43" s="36">
        <f t="shared" si="160"/>
        <v>0</v>
      </c>
      <c r="BC43" s="35">
        <f>SUMIFS('Fin Forecast'!$P$3:$P$600,'Fin Forecast'!$B$3:$B$600,'Jul17-Jun18 Retail'!$E43,'Fin Forecast'!$C$3:$C$600,'Jul17-Jun18 Retail'!$BC$5)*1000</f>
        <v>0</v>
      </c>
      <c r="BD43" s="35">
        <f>SUMIFS('Fin Forecast'!$P$3:$P$600,'Fin Forecast'!$B$3:$B$600,'Jul17-Jun18 Retail'!$E43,'Fin Forecast'!$C$3:$C$600,'Jul17-Jun18 Retail'!$BD$5)*1000</f>
        <v>0</v>
      </c>
      <c r="BE43" s="35"/>
      <c r="BF43" s="35"/>
      <c r="BG43" s="35">
        <f>SUMIFS('Fin Forecast'!$P$3:$P$600,'Fin Forecast'!$B$3:$B$600,'Jul17-Jun18 Retail'!$E43,'Fin Forecast'!$C$3:$C$600,'Jul17-Jun18 Retail'!$BG$5)*1000</f>
        <v>0</v>
      </c>
      <c r="BH43" s="35">
        <f>SUMIFS('Fin Forecast'!$P$3:$P$600,'Fin Forecast'!$B$3:$B$600,'Jul17-Jun18 Retail'!$E43,'Fin Forecast'!$C$3:$C$600,'Jul17-Jun18 Retail'!$BH$5)*1000</f>
        <v>0</v>
      </c>
      <c r="BI43" s="35">
        <f>SUMIFS('Fin Forecast'!$P$3:$P$600,'Fin Forecast'!$B$3:$B$600,'Jul17-Jun18 Retail'!$E43,'Fin Forecast'!$C$3:$C$600,'Jul17-Jun18 Retail'!$BI$5)*1000</f>
        <v>0</v>
      </c>
      <c r="BJ43" s="35">
        <f>SUMIFS('Fin Forecast'!$P$3:$P$600,'Fin Forecast'!$B$3:$B$600,'Jul17-Jun18 Retail'!$E43,'Fin Forecast'!$C$3:$C$600,'Jul17-Jun18 Retail'!$BJ$5)*1000</f>
        <v>0</v>
      </c>
      <c r="BL43" s="44">
        <f t="shared" ca="1" si="161"/>
        <v>0</v>
      </c>
      <c r="BN43" s="49">
        <f t="shared" ca="1" si="162"/>
        <v>0</v>
      </c>
      <c r="BO43" s="49">
        <f t="shared" ca="1" si="163"/>
        <v>0</v>
      </c>
      <c r="BP43" s="49">
        <f t="shared" si="164"/>
        <v>0</v>
      </c>
    </row>
    <row r="44" spans="1:68" ht="15" x14ac:dyDescent="0.25">
      <c r="A44" s="304" t="s">
        <v>443</v>
      </c>
      <c r="B44" s="304" t="s">
        <v>444</v>
      </c>
      <c r="C44" s="6">
        <f>C43+1</f>
        <v>33</v>
      </c>
      <c r="D44" s="361">
        <f>$D$42</f>
        <v>43070</v>
      </c>
      <c r="E44" s="361" t="str">
        <f>+'Retail Rates'!$B$15</f>
        <v>LGCMG851</v>
      </c>
      <c r="F44" s="6" t="str">
        <f t="shared" si="165"/>
        <v>851</v>
      </c>
      <c r="G44" s="6" t="str">
        <f>VLOOKUP(E44,'Retail Rates'!$B$7:$D$34,3,FALSE)</f>
        <v>CGS</v>
      </c>
      <c r="H44" s="25"/>
      <c r="I44" s="25">
        <f>SUMIFS('Forcasted Customer Cts'!$U$5:$U$36,'Forcasted Customer Cts'!$D$5:$D$36,'Jul17-Jun18 Retail'!$E44,'Forcasted Customer Cts'!$C$5:$C$36,'Jul17-Jun18 Retail'!$A$9)</f>
        <v>24144</v>
      </c>
      <c r="J44" s="25">
        <f>SUMIFS('Forcasted Customer Cts'!$U$5:$U$36,'Forcasted Customer Cts'!$D$5:$D$36,'Jul17-Jun18 Retail'!$E44,'Forcasted Customer Cts'!$C$5:$C$36,'Jul17-Jun18 Retail'!$B$9)</f>
        <v>1005</v>
      </c>
      <c r="K44" s="25">
        <f>SUMIF('Forecasted Calendar Month Usage'!$D$5:$D$41,'Jul17-Jun18 Retail'!$E44,'Forecasted Calendar Month Usage'!$AC$5:$AC$41)*10</f>
        <v>15695402.03860089</v>
      </c>
      <c r="L44" s="25"/>
      <c r="M44" s="25"/>
      <c r="N44" s="26">
        <f>VLOOKUP($E44,'Retail Rates'!$B$7:$L$34,5,FALSE)</f>
        <v>40</v>
      </c>
      <c r="O44" s="26">
        <f>VLOOKUP($E44,'Retail Rates'!$B$7:$L$34,6,FALSE)</f>
        <v>180</v>
      </c>
      <c r="P44" s="27">
        <f>VLOOKUP($E44,'Retail Rates'!$B$7:$L$34,7,FALSE)</f>
        <v>0.21504000000000001</v>
      </c>
      <c r="Q44" s="27">
        <f>VLOOKUP($E44,'Retail Rates'!$B$7:$L$34,8,FALSE)</f>
        <v>0.16504000000000002</v>
      </c>
      <c r="R44" s="27"/>
      <c r="S44" s="26">
        <f>VLOOKUP($E44,'Retail Rates'!$B$7:$L$34,9,FALSE)</f>
        <v>0</v>
      </c>
      <c r="T44" s="27">
        <f>VLOOKUP($E44,'Retail Rates'!$B$7:$L$34,10,FALSE)</f>
        <v>0</v>
      </c>
      <c r="U44" s="26">
        <f>VLOOKUP($E44,'Retail Rates'!$B$7:$L$34,11,FALSE)</f>
        <v>0</v>
      </c>
      <c r="V44" s="309"/>
      <c r="W44" s="28">
        <f t="shared" si="146"/>
        <v>965760</v>
      </c>
      <c r="X44" s="28"/>
      <c r="Y44" s="28">
        <f>+J44*O44</f>
        <v>180900</v>
      </c>
      <c r="Z44" s="28">
        <f t="shared" si="147"/>
        <v>3375139.2543807356</v>
      </c>
      <c r="AA44" s="28">
        <f t="shared" si="148"/>
        <v>0</v>
      </c>
      <c r="AB44" s="28">
        <f t="shared" si="149"/>
        <v>0</v>
      </c>
      <c r="AC44" s="28"/>
      <c r="AD44" s="28"/>
      <c r="AE44" s="28">
        <f t="shared" si="166"/>
        <v>0</v>
      </c>
      <c r="AF44" s="28">
        <f t="shared" si="150"/>
        <v>0</v>
      </c>
      <c r="AG44" s="48">
        <f ca="1">SUMIFS(Adjustments!H$5:H$557,Adjustments!$B$5:$B$557,'Jul17-Jun18 Retail'!$D44,Adjustments!$C$5:$C$557,'Jul17-Jun18 Retail'!$E44)</f>
        <v>0</v>
      </c>
      <c r="AH44" s="48">
        <f ca="1">SUMIFS(Adjustments!I$5:I$557,Adjustments!$B$5:$B$557,'Jul17-Jun18 Retail'!$D44,Adjustments!$C$5:$C$557,'Jul17-Jun18 Retail'!$E44)</f>
        <v>0</v>
      </c>
      <c r="AI44" s="40">
        <f ca="1">SUMIFS(Adjustments!J$5:J$557,Adjustments!$B$5:$B$557,'Jul17-Jun18 Retail'!$D44,Adjustments!$C$5:$C$557,'Jul17-Jun18 Retail'!$E44)</f>
        <v>0</v>
      </c>
      <c r="AJ44" s="40">
        <f ca="1">SUMIFS(Adjustments!K$5:K$557,Adjustments!$B$5:$B$557,'Jul17-Jun18 Retail'!$D44,Adjustments!$C$5:$C$557,'Jul17-Jun18 Retail'!$E44)</f>
        <v>0</v>
      </c>
      <c r="AK44" s="40">
        <f ca="1">SUMIFS(Adjustments!L$5:L$557,Adjustments!$B$5:$B$557,'Jul17-Jun18 Retail'!$D44,Adjustments!$C$5:$C$557,'Jul17-Jun18 Retail'!$E44)</f>
        <v>0</v>
      </c>
      <c r="AL44" s="40">
        <f ca="1">SUMIFS(Adjustments!M$5:M$557,Adjustments!$B$5:$B$557,'Jul17-Jun18 Retail'!$D44,Adjustments!$C$5:$C$557,'Jul17-Jun18 Retail'!$E44)</f>
        <v>0</v>
      </c>
      <c r="AM44" s="40">
        <f ca="1">SUMIFS(Adjustments!N$5:N$557,Adjustments!$B$5:$B$557,'Jul17-Jun18 Retail'!$D44,Adjustments!$C$5:$C$557,'Jul17-Jun18 Retail'!$E44)</f>
        <v>0</v>
      </c>
      <c r="AN44" s="40">
        <f ca="1">SUMIFS(Adjustments!O$5:O$557,Adjustments!$B$5:$B$557,'Jul17-Jun18 Retail'!$D44,Adjustments!$C$5:$C$557,'Jul17-Jun18 Retail'!$E44)</f>
        <v>0</v>
      </c>
      <c r="AO44" s="40">
        <f ca="1">SUMIFS(Adjustments!P$5:P$557,Adjustments!$B$5:$B$557,'Jul17-Jun18 Retail'!$D44,Adjustments!$C$5:$C$557,'Jul17-Jun18 Retail'!$E44)</f>
        <v>0</v>
      </c>
      <c r="AP44" s="28">
        <f t="shared" ca="1" si="151"/>
        <v>965760</v>
      </c>
      <c r="AQ44" s="28">
        <f t="shared" ca="1" si="152"/>
        <v>180900</v>
      </c>
      <c r="AR44" s="28">
        <f t="shared" ca="1" si="153"/>
        <v>3375139.2543807356</v>
      </c>
      <c r="AS44" s="28">
        <f t="shared" ca="1" si="154"/>
        <v>0</v>
      </c>
      <c r="AT44" s="35">
        <f t="shared" si="155"/>
        <v>6207095.0209408393</v>
      </c>
      <c r="AU44" s="35">
        <f t="shared" si="156"/>
        <v>49717.264805333652</v>
      </c>
      <c r="AV44" s="35"/>
      <c r="AW44" s="35">
        <f t="shared" si="157"/>
        <v>785178.64641881059</v>
      </c>
      <c r="AX44" s="28">
        <f t="shared" ca="1" si="158"/>
        <v>0</v>
      </c>
      <c r="AY44" s="28"/>
      <c r="AZ44" s="35">
        <f t="shared" ref="AZ44:AZ46" ca="1" si="168">ROUND(SUM(AP44:AY44),2)</f>
        <v>11563790.189999999</v>
      </c>
      <c r="BA44" s="35">
        <f t="shared" ref="BA44:BA46" si="169">SUM(BC44:BJ44)-BF44</f>
        <v>11563790.185901264</v>
      </c>
      <c r="BB44" s="36">
        <f t="shared" ca="1" si="160"/>
        <v>1</v>
      </c>
      <c r="BC44" s="35">
        <f>SUMIFS('Fin Forecast'!$P$3:$P$600,'Fin Forecast'!$B$3:$B$600,'Jul17-Jun18 Retail'!$E44,'Fin Forecast'!$C$3:$C$600,'Jul17-Jun18 Retail'!$BC$5)*1000</f>
        <v>49717.264805333652</v>
      </c>
      <c r="BD44" s="35">
        <f>SUMIFS('Fin Forecast'!$P$3:$P$600,'Fin Forecast'!$B$3:$B$600,'Jul17-Jun18 Retail'!$E44,'Fin Forecast'!$C$3:$C$600,'Jul17-Jun18 Retail'!$BD$5)*1000</f>
        <v>6207095.0209408393</v>
      </c>
      <c r="BE44" s="35"/>
      <c r="BF44" s="35"/>
      <c r="BG44" s="35">
        <f>SUMIFS('Fin Forecast'!$P$3:$P$600,'Fin Forecast'!$B$3:$B$600,'Jul17-Jun18 Retail'!$E44,'Fin Forecast'!$C$3:$C$600,'Jul17-Jun18 Retail'!$BG$5)*1000</f>
        <v>1146660</v>
      </c>
      <c r="BH44" s="35">
        <f>SUMIFS('Fin Forecast'!$P$3:$P$600,'Fin Forecast'!$B$3:$B$600,'Jul17-Jun18 Retail'!$E44,'Fin Forecast'!$C$3:$C$600,'Jul17-Jun18 Retail'!$BH$5)*1000</f>
        <v>3375139.2537362808</v>
      </c>
      <c r="BI44" s="35">
        <f>SUMIFS('Fin Forecast'!$P$3:$P$600,'Fin Forecast'!$B$3:$B$600,'Jul17-Jun18 Retail'!$E44,'Fin Forecast'!$C$3:$C$600,'Jul17-Jun18 Retail'!$BI$5)*1000</f>
        <v>0</v>
      </c>
      <c r="BJ44" s="35">
        <f>SUMIFS('Fin Forecast'!$P$3:$P$600,'Fin Forecast'!$B$3:$B$600,'Jul17-Jun18 Retail'!$E44,'Fin Forecast'!$C$3:$C$600,'Jul17-Jun18 Retail'!$BJ$5)*1000</f>
        <v>785178.64641881059</v>
      </c>
      <c r="BL44" s="44">
        <f t="shared" ca="1" si="161"/>
        <v>4.0987357497215271E-3</v>
      </c>
      <c r="BN44" s="49">
        <f t="shared" ca="1" si="162"/>
        <v>0</v>
      </c>
      <c r="BO44" s="49">
        <f t="shared" ca="1" si="163"/>
        <v>6.4445473253726959E-4</v>
      </c>
      <c r="BP44" s="49">
        <f t="shared" si="164"/>
        <v>0</v>
      </c>
    </row>
    <row r="45" spans="1:68" ht="15" x14ac:dyDescent="0.25">
      <c r="A45" s="304"/>
      <c r="B45" s="304"/>
      <c r="C45" s="6">
        <f t="shared" ref="C45:C47" si="170">C44+1</f>
        <v>34</v>
      </c>
      <c r="D45" s="361">
        <f>$D$42</f>
        <v>43070</v>
      </c>
      <c r="E45" s="361" t="str">
        <f>+'Retail Rates'!$B$20</f>
        <v>LGCMG875</v>
      </c>
      <c r="F45" s="6" t="str">
        <f t="shared" si="165"/>
        <v>875</v>
      </c>
      <c r="G45" s="6" t="str">
        <f>VLOOKUP(E45,'Retail Rates'!$B$7:$D$34,3,FALSE)</f>
        <v>DGGS-C</v>
      </c>
      <c r="H45" s="25">
        <v>1</v>
      </c>
      <c r="I45" s="25"/>
      <c r="J45" s="25"/>
      <c r="K45" s="25">
        <v>6</v>
      </c>
      <c r="L45" s="25"/>
      <c r="M45" s="25">
        <v>483</v>
      </c>
      <c r="N45" s="26">
        <f>VLOOKUP($E45,'Retail Rates'!$B$7:$L$34,5,FALSE)</f>
        <v>40</v>
      </c>
      <c r="O45" s="26">
        <f>VLOOKUP($E45,'Retail Rates'!$B$7:$L$34,6,FALSE)</f>
        <v>180</v>
      </c>
      <c r="P45" s="27">
        <f>VLOOKUP($E45,'Retail Rates'!$B$7:$L$34,7,FALSE)</f>
        <v>3.329E-2</v>
      </c>
      <c r="Q45" s="27">
        <f>VLOOKUP($E45,'Retail Rates'!$B$7:$L$34,8,FALSE)</f>
        <v>0</v>
      </c>
      <c r="R45" s="27"/>
      <c r="S45" s="26">
        <f>VLOOKUP($E45,'Retail Rates'!$B$7:$L$34,9,FALSE)</f>
        <v>0</v>
      </c>
      <c r="T45" s="27">
        <f>VLOOKUP($E45,'Retail Rates'!$B$7:$L$34,10,FALSE)</f>
        <v>0</v>
      </c>
      <c r="U45" s="403">
        <f>VLOOKUP($E45,'Retail Rates'!$B$7:$L$34,11,FALSE)</f>
        <v>1.1263000000000001</v>
      </c>
      <c r="V45" s="309"/>
      <c r="W45" s="28">
        <f t="shared" si="146"/>
        <v>40</v>
      </c>
      <c r="X45" s="28"/>
      <c r="Y45" s="28"/>
      <c r="Z45" s="28">
        <f t="shared" si="147"/>
        <v>0.19974</v>
      </c>
      <c r="AA45" s="28">
        <f t="shared" si="148"/>
        <v>0</v>
      </c>
      <c r="AB45" s="28">
        <f t="shared" si="149"/>
        <v>0</v>
      </c>
      <c r="AC45" s="28"/>
      <c r="AD45" s="28"/>
      <c r="AE45" s="28">
        <f t="shared" si="166"/>
        <v>544.00290000000007</v>
      </c>
      <c r="AF45" s="28">
        <f t="shared" si="150"/>
        <v>0</v>
      </c>
      <c r="AG45" s="48">
        <f ca="1">SUMIFS(Adjustments!H$5:H$557,Adjustments!$B$5:$B$557,'Jul17-Jun18 Retail'!$D45,Adjustments!$C$5:$C$557,'Jul17-Jun18 Retail'!$E45)</f>
        <v>0</v>
      </c>
      <c r="AH45" s="48">
        <f ca="1">SUMIFS(Adjustments!I$5:I$557,Adjustments!$B$5:$B$557,'Jul17-Jun18 Retail'!$D45,Adjustments!$C$5:$C$557,'Jul17-Jun18 Retail'!$E45)</f>
        <v>0</v>
      </c>
      <c r="AI45" s="40">
        <f ca="1">SUMIFS(Adjustments!J$5:J$557,Adjustments!$B$5:$B$557,'Jul17-Jun18 Retail'!$D45,Adjustments!$C$5:$C$557,'Jul17-Jun18 Retail'!$E45)</f>
        <v>0</v>
      </c>
      <c r="AJ45" s="40">
        <f ca="1">SUMIFS(Adjustments!K$5:K$557,Adjustments!$B$5:$B$557,'Jul17-Jun18 Retail'!$D45,Adjustments!$C$5:$C$557,'Jul17-Jun18 Retail'!$E45)</f>
        <v>0</v>
      </c>
      <c r="AK45" s="40">
        <f ca="1">SUMIFS(Adjustments!L$5:L$557,Adjustments!$B$5:$B$557,'Jul17-Jun18 Retail'!$D45,Adjustments!$C$5:$C$557,'Jul17-Jun18 Retail'!$E45)</f>
        <v>0</v>
      </c>
      <c r="AL45" s="40">
        <f ca="1">SUMIFS(Adjustments!M$5:M$557,Adjustments!$B$5:$B$557,'Jul17-Jun18 Retail'!$D45,Adjustments!$C$5:$C$557,'Jul17-Jun18 Retail'!$E45)</f>
        <v>0</v>
      </c>
      <c r="AM45" s="40">
        <f ca="1">SUMIFS(Adjustments!N$5:N$557,Adjustments!$B$5:$B$557,'Jul17-Jun18 Retail'!$D45,Adjustments!$C$5:$C$557,'Jul17-Jun18 Retail'!$E45)</f>
        <v>0</v>
      </c>
      <c r="AN45" s="40">
        <f ca="1">SUMIFS(Adjustments!O$5:O$557,Adjustments!$B$5:$B$557,'Jul17-Jun18 Retail'!$D45,Adjustments!$C$5:$C$557,'Jul17-Jun18 Retail'!$E45)</f>
        <v>0</v>
      </c>
      <c r="AO45" s="40">
        <f ca="1">SUMIFS(Adjustments!P$5:P$557,Adjustments!$B$5:$B$557,'Jul17-Jun18 Retail'!$D45,Adjustments!$C$5:$C$557,'Jul17-Jun18 Retail'!$E45)</f>
        <v>0</v>
      </c>
      <c r="AP45" s="28">
        <f t="shared" ca="1" si="151"/>
        <v>40</v>
      </c>
      <c r="AQ45" s="28">
        <f t="shared" ca="1" si="152"/>
        <v>0</v>
      </c>
      <c r="AR45" s="28">
        <f t="shared" ca="1" si="153"/>
        <v>0.19974</v>
      </c>
      <c r="AS45" s="28">
        <f t="shared" ca="1" si="154"/>
        <v>0</v>
      </c>
      <c r="AT45" s="35">
        <f t="shared" si="155"/>
        <v>2.3728331419075896</v>
      </c>
      <c r="AU45" s="35">
        <f t="shared" si="156"/>
        <v>1.9005794700595699E-2</v>
      </c>
      <c r="AV45" s="35"/>
      <c r="AW45" s="35">
        <f t="shared" si="157"/>
        <v>0</v>
      </c>
      <c r="AX45" s="28">
        <f t="shared" ca="1" si="158"/>
        <v>544.00290000000007</v>
      </c>
      <c r="AY45" s="28"/>
      <c r="AZ45" s="35">
        <f ca="1">ROUND(SUM(AP45:AY45),2)</f>
        <v>586.59</v>
      </c>
      <c r="BA45" s="35">
        <f>SUM(BC45:BJ45)-BF45</f>
        <v>586.59447893660808</v>
      </c>
      <c r="BB45" s="36">
        <f ca="1">IF(BA45=0,0,ROUND(BA45/AZ45,6))</f>
        <v>1.000008</v>
      </c>
      <c r="BC45" s="35">
        <f>SUMIFS('Fin Forecast'!$P$3:$P$600,'Fin Forecast'!$B$3:$B$600,'Jul17-Jun18 Retail'!$E45,'Fin Forecast'!$C$3:$C$600,'Jul17-Jun18 Retail'!$BC$5)*1000</f>
        <v>1.9005794700595699E-2</v>
      </c>
      <c r="BD45" s="35">
        <f>SUMIFS('Fin Forecast'!$P$3:$P$600,'Fin Forecast'!$B$3:$B$600,'Jul17-Jun18 Retail'!$E45,'Fin Forecast'!$C$3:$C$600,'Jul17-Jun18 Retail'!$BD$5)*1000</f>
        <v>2.3728331419075896</v>
      </c>
      <c r="BE45" s="35"/>
      <c r="BF45" s="35"/>
      <c r="BG45" s="35">
        <f>SUMIFS('Fin Forecast'!$P$3:$P$600,'Fin Forecast'!$B$3:$B$600,'Jul17-Jun18 Retail'!$E45,'Fin Forecast'!$C$3:$C$600,'Jul17-Jun18 Retail'!$BG$5)*1000</f>
        <v>40</v>
      </c>
      <c r="BH45" s="35">
        <f>SUMIFS('Fin Forecast'!$P$3:$P$600,'Fin Forecast'!$B$3:$B$600,'Jul17-Jun18 Retail'!$E45,'Fin Forecast'!$C$3:$C$600,'Jul17-Jun18 Retail'!$BH$5)*1000</f>
        <v>0.199739999999999</v>
      </c>
      <c r="BI45" s="35">
        <f>SUMIFS('Fin Forecast'!$P$3:$P$600,'Fin Forecast'!$B$3:$B$600,'Jul17-Jun18 Retail'!$E45,'Fin Forecast'!$C$3:$C$600,'Jul17-Jun18 Retail'!$BI$5)*1000</f>
        <v>544.00289999999995</v>
      </c>
      <c r="BJ45" s="35">
        <f>SUMIFS('Fin Forecast'!$P$3:$P$600,'Fin Forecast'!$B$3:$B$600,'Jul17-Jun18 Retail'!$E45,'Fin Forecast'!$C$3:$C$600,'Jul17-Jun18 Retail'!$BJ$5)*1000</f>
        <v>0</v>
      </c>
      <c r="BL45" s="44">
        <f t="shared" ca="1" si="161"/>
        <v>-4.4789366080522086E-3</v>
      </c>
      <c r="BN45" s="49">
        <f t="shared" ca="1" si="162"/>
        <v>0</v>
      </c>
      <c r="BO45" s="49">
        <f t="shared" ca="1" si="163"/>
        <v>9.9920072216264089E-16</v>
      </c>
      <c r="BP45" s="49">
        <f t="shared" si="164"/>
        <v>0</v>
      </c>
    </row>
    <row r="46" spans="1:68" ht="15" x14ac:dyDescent="0.25">
      <c r="A46" s="418" t="s">
        <v>637</v>
      </c>
      <c r="C46" s="6">
        <f t="shared" si="170"/>
        <v>35</v>
      </c>
      <c r="D46" s="361">
        <f>$D$42</f>
        <v>43070</v>
      </c>
      <c r="E46" s="361" t="str">
        <f>+'Retail Rates'!$B$26</f>
        <v>LGING855</v>
      </c>
      <c r="F46" s="6" t="str">
        <f t="shared" si="165"/>
        <v>855</v>
      </c>
      <c r="G46" s="6" t="s">
        <v>111</v>
      </c>
      <c r="H46" s="25"/>
      <c r="I46" s="25">
        <f>SUMIFS('Forcasted Customer Cts'!$U$5:$U$36,'Forcasted Customer Cts'!$D$5:$D$36,'Jul17-Jun18 Retail'!$E46,'Forcasted Customer Cts'!$C$5:$C$36,'Jul17-Jun18 Retail'!$A$9)</f>
        <v>147</v>
      </c>
      <c r="J46" s="25">
        <f>SUMIFS('Forcasted Customer Cts'!$U$5:$U$36,'Forcasted Customer Cts'!$D$5:$D$36,'Jul17-Jun18 Retail'!$E46,'Forcasted Customer Cts'!$C$5:$C$36,'Jul17-Jun18 Retail'!$B$9)</f>
        <v>115</v>
      </c>
      <c r="K46" s="25">
        <f>SUMIF('Forecasted Calendar Month Usage'!$D$5:$D$41,'Jul17-Jun18 Retail'!$E46,'Forecasted Calendar Month Usage'!$AC$5:$AC$41)*10</f>
        <v>1837091.5432621257</v>
      </c>
      <c r="L46" s="25"/>
      <c r="M46" s="25"/>
      <c r="N46" s="26">
        <f>VLOOKUP($E46,'Retail Rates'!$B$7:$L$34,5,FALSE)</f>
        <v>40</v>
      </c>
      <c r="O46" s="26">
        <f>VLOOKUP($E46,'Retail Rates'!$B$7:$L$34,6,FALSE)</f>
        <v>180</v>
      </c>
      <c r="P46" s="27">
        <f>VLOOKUP($E46,'Retail Rates'!$B$7:$L$34,7,FALSE)</f>
        <v>0.22778999999999999</v>
      </c>
      <c r="Q46" s="27">
        <f>VLOOKUP($E46,'Retail Rates'!$B$7:$L$34,8,FALSE)</f>
        <v>0.17779</v>
      </c>
      <c r="R46" s="27"/>
      <c r="S46" s="26">
        <f>VLOOKUP($E46,'Retail Rates'!$B$7:$L$34,9,FALSE)</f>
        <v>0</v>
      </c>
      <c r="T46" s="27">
        <f>VLOOKUP($E46,'Retail Rates'!$B$7:$L$34,10,FALSE)</f>
        <v>0</v>
      </c>
      <c r="U46" s="26">
        <f>VLOOKUP($E46,'Retail Rates'!$B$7:$L$34,11,FALSE)</f>
        <v>0</v>
      </c>
      <c r="V46" s="309"/>
      <c r="W46" s="28">
        <f t="shared" si="146"/>
        <v>5880</v>
      </c>
      <c r="X46" s="28"/>
      <c r="Y46" s="28">
        <f t="shared" ref="Y46" si="171">+J46*O46</f>
        <v>20700</v>
      </c>
      <c r="Z46" s="28">
        <f t="shared" si="147"/>
        <v>418471.0826396796</v>
      </c>
      <c r="AA46" s="28">
        <f t="shared" si="148"/>
        <v>0</v>
      </c>
      <c r="AB46" s="28">
        <f t="shared" si="149"/>
        <v>0</v>
      </c>
      <c r="AC46" s="28"/>
      <c r="AD46" s="28"/>
      <c r="AE46" s="28">
        <f t="shared" si="166"/>
        <v>0</v>
      </c>
      <c r="AF46" s="28">
        <f>(+I46*V46)+(J46*V46)</f>
        <v>0</v>
      </c>
      <c r="AG46" s="48">
        <f ca="1">SUMIFS(Adjustments!H$5:H$557,Adjustments!$B$5:$B$557,'Jul17-Jun18 Retail'!$D46,Adjustments!$C$5:$C$557,'Jul17-Jun18 Retail'!$E46)</f>
        <v>0</v>
      </c>
      <c r="AH46" s="48">
        <f ca="1">SUMIFS(Adjustments!I$5:I$557,Adjustments!$B$5:$B$557,'Jul17-Jun18 Retail'!$D46,Adjustments!$C$5:$C$557,'Jul17-Jun18 Retail'!$E46)</f>
        <v>0</v>
      </c>
      <c r="AI46" s="40">
        <f ca="1">SUMIFS(Adjustments!J$5:J$557,Adjustments!$B$5:$B$557,'Jul17-Jun18 Retail'!$D46,Adjustments!$C$5:$C$557,'Jul17-Jun18 Retail'!$E46)</f>
        <v>0</v>
      </c>
      <c r="AJ46" s="40">
        <f ca="1">SUMIFS(Adjustments!K$5:K$557,Adjustments!$B$5:$B$557,'Jul17-Jun18 Retail'!$D46,Adjustments!$C$5:$C$557,'Jul17-Jun18 Retail'!$E46)</f>
        <v>0</v>
      </c>
      <c r="AK46" s="40">
        <f ca="1">SUMIFS(Adjustments!L$5:L$557,Adjustments!$B$5:$B$557,'Jul17-Jun18 Retail'!$D46,Adjustments!$C$5:$C$557,'Jul17-Jun18 Retail'!$E46)</f>
        <v>0</v>
      </c>
      <c r="AL46" s="40">
        <f ca="1">SUMIFS(Adjustments!M$5:M$557,Adjustments!$B$5:$B$557,'Jul17-Jun18 Retail'!$D46,Adjustments!$C$5:$C$557,'Jul17-Jun18 Retail'!$E46)</f>
        <v>0</v>
      </c>
      <c r="AM46" s="40">
        <f ca="1">SUMIFS(Adjustments!N$5:N$557,Adjustments!$B$5:$B$557,'Jul17-Jun18 Retail'!$D46,Adjustments!$C$5:$C$557,'Jul17-Jun18 Retail'!$E46)</f>
        <v>0</v>
      </c>
      <c r="AN46" s="40">
        <f ca="1">SUMIFS(Adjustments!O$5:O$557,Adjustments!$B$5:$B$557,'Jul17-Jun18 Retail'!$D46,Adjustments!$C$5:$C$557,'Jul17-Jun18 Retail'!$E46)</f>
        <v>0</v>
      </c>
      <c r="AO46" s="40">
        <f ca="1">SUMIFS(Adjustments!P$5:P$557,Adjustments!$B$5:$B$557,'Jul17-Jun18 Retail'!$D46,Adjustments!$C$5:$C$557,'Jul17-Jun18 Retail'!$E46)</f>
        <v>0</v>
      </c>
      <c r="AP46" s="28">
        <f t="shared" ca="1" si="151"/>
        <v>5880</v>
      </c>
      <c r="AQ46" s="28">
        <f t="shared" ca="1" si="152"/>
        <v>20700</v>
      </c>
      <c r="AR46" s="28">
        <f t="shared" ca="1" si="153"/>
        <v>418471.0826396796</v>
      </c>
      <c r="AS46" s="28">
        <f t="shared" ca="1" si="154"/>
        <v>0</v>
      </c>
      <c r="AT46" s="35">
        <f t="shared" si="155"/>
        <v>726518.61641176348</v>
      </c>
      <c r="AU46" s="35">
        <f t="shared" si="156"/>
        <v>0</v>
      </c>
      <c r="AV46" s="35"/>
      <c r="AW46" s="35">
        <f t="shared" si="157"/>
        <v>71432.856893505843</v>
      </c>
      <c r="AX46" s="28">
        <f t="shared" ca="1" si="158"/>
        <v>0</v>
      </c>
      <c r="AY46" s="28"/>
      <c r="AZ46" s="35">
        <f t="shared" ca="1" si="168"/>
        <v>1243002.56</v>
      </c>
      <c r="BA46" s="35">
        <f t="shared" si="169"/>
        <v>1243002.5559353528</v>
      </c>
      <c r="BB46" s="36">
        <f t="shared" ca="1" si="160"/>
        <v>1</v>
      </c>
      <c r="BC46" s="35">
        <f>SUMIFS('Fin Forecast'!$P$3:$P$600,'Fin Forecast'!$B$3:$B$600,'Jul17-Jun18 Retail'!$E46,'Fin Forecast'!$C$3:$C$600,'Jul17-Jun18 Retail'!$BC$5)*1000</f>
        <v>0</v>
      </c>
      <c r="BD46" s="35">
        <f>SUMIFS('Fin Forecast'!$P$3:$P$600,'Fin Forecast'!$B$3:$B$600,'Jul17-Jun18 Retail'!$E46,'Fin Forecast'!$C$3:$C$600,'Jul17-Jun18 Retail'!$BD$5)*1000</f>
        <v>726518.61641176348</v>
      </c>
      <c r="BE46" s="35"/>
      <c r="BF46" s="35"/>
      <c r="BG46" s="35">
        <f>SUMIFS('Fin Forecast'!$P$3:$P$600,'Fin Forecast'!$B$3:$B$600,'Jul17-Jun18 Retail'!$E46,'Fin Forecast'!$C$3:$C$600,'Jul17-Jun18 Retail'!$BG$5)*1000</f>
        <v>26580.000000000004</v>
      </c>
      <c r="BH46" s="35">
        <f>SUMIFS('Fin Forecast'!$P$3:$P$600,'Fin Forecast'!$B$3:$B$600,'Jul17-Jun18 Retail'!$E46,'Fin Forecast'!$C$3:$C$600,'Jul17-Jun18 Retail'!$BH$5)*1000</f>
        <v>418471.08263008349</v>
      </c>
      <c r="BI46" s="35">
        <f>SUMIFS('Fin Forecast'!$P$3:$P$600,'Fin Forecast'!$B$3:$B$600,'Jul17-Jun18 Retail'!$E46,'Fin Forecast'!$C$3:$C$600,'Jul17-Jun18 Retail'!$BI$5)*1000</f>
        <v>0</v>
      </c>
      <c r="BJ46" s="35">
        <f>SUMIFS('Fin Forecast'!$P$3:$P$600,'Fin Forecast'!$B$3:$B$600,'Jul17-Jun18 Retail'!$E46,'Fin Forecast'!$C$3:$C$600,'Jul17-Jun18 Retail'!$BJ$5)*1000</f>
        <v>71432.856893505843</v>
      </c>
      <c r="BL46" s="44">
        <f t="shared" ca="1" si="161"/>
        <v>4.0646472480148077E-3</v>
      </c>
      <c r="BN46" s="49">
        <f t="shared" ca="1" si="162"/>
        <v>0</v>
      </c>
      <c r="BO46" s="49">
        <f t="shared" ca="1" si="163"/>
        <v>9.5961149781942368E-6</v>
      </c>
      <c r="BP46" s="49">
        <f t="shared" si="164"/>
        <v>0</v>
      </c>
    </row>
    <row r="47" spans="1:68" ht="15" x14ac:dyDescent="0.25">
      <c r="C47" s="6">
        <f t="shared" si="170"/>
        <v>36</v>
      </c>
      <c r="D47" s="361">
        <f>$D$42</f>
        <v>43070</v>
      </c>
      <c r="E47" s="361" t="str">
        <f>+'Retail Rates'!$B$31</f>
        <v>LGRSG811</v>
      </c>
      <c r="F47" s="6" t="str">
        <f t="shared" si="165"/>
        <v>811</v>
      </c>
      <c r="G47" s="6" t="str">
        <f>VLOOKUP(E47,'Retail Rates'!$B$7:$D$34,3,FALSE)</f>
        <v>RGS</v>
      </c>
      <c r="H47" s="25">
        <f>SUMIF('Forcasted Customer Cts'!$D$5:$D$36,'Jul17-Jun18 Retail'!$E47,'Forcasted Customer Cts'!$U$5:$U$36)</f>
        <v>296650</v>
      </c>
      <c r="I47" s="25"/>
      <c r="J47" s="25"/>
      <c r="K47" s="25">
        <f>SUMIF('Forecasted Calendar Month Usage'!$D$5:$D$41,'Jul17-Jun18 Retail'!$E47,'Forecasted Calendar Month Usage'!$AC$5:$AC$41)*10</f>
        <v>33832048.675337806</v>
      </c>
      <c r="L47" s="25"/>
      <c r="M47" s="25"/>
      <c r="N47" s="26">
        <f>VLOOKUP($E47,'Retail Rates'!$B$7:$L$34,5,FALSE)</f>
        <v>13.5</v>
      </c>
      <c r="O47" s="26">
        <f>VLOOKUP($E47,'Retail Rates'!$B$7:$L$34,6,FALSE)</f>
        <v>0</v>
      </c>
      <c r="P47" s="27">
        <f>VLOOKUP($E47,'Retail Rates'!$B$7:$L$34,7,FALSE)</f>
        <v>0.28693000000000002</v>
      </c>
      <c r="Q47" s="27">
        <f>VLOOKUP($E47,'Retail Rates'!$B$7:$L$34,8,FALSE)</f>
        <v>0</v>
      </c>
      <c r="R47" s="27"/>
      <c r="S47" s="26">
        <f>VLOOKUP($E47,'Retail Rates'!$B$7:$L$34,9,FALSE)</f>
        <v>0</v>
      </c>
      <c r="T47" s="27">
        <f>VLOOKUP($E47,'Retail Rates'!$B$7:$L$34,10,FALSE)</f>
        <v>0</v>
      </c>
      <c r="U47" s="26">
        <f>VLOOKUP($E47,'Retail Rates'!$B$7:$L$34,11,FALSE)</f>
        <v>0</v>
      </c>
      <c r="V47" s="309"/>
      <c r="W47" s="28">
        <f t="shared" si="146"/>
        <v>4004775</v>
      </c>
      <c r="X47" s="28"/>
      <c r="Y47" s="28"/>
      <c r="Z47" s="28">
        <f t="shared" si="147"/>
        <v>9707429.7264146768</v>
      </c>
      <c r="AA47" s="28">
        <f t="shared" si="148"/>
        <v>0</v>
      </c>
      <c r="AB47" s="28">
        <f t="shared" si="149"/>
        <v>0</v>
      </c>
      <c r="AC47" s="28"/>
      <c r="AD47" s="28"/>
      <c r="AE47" s="28">
        <f t="shared" si="166"/>
        <v>0</v>
      </c>
      <c r="AF47" s="28">
        <f t="shared" ref="AF47" si="172">(+H47*V47)+(I47*V47)</f>
        <v>0</v>
      </c>
      <c r="AG47" s="48">
        <f ca="1">SUMIFS(Adjustments!H$5:H$557,Adjustments!$B$5:$B$557,'Jul17-Jun18 Retail'!$D47,Adjustments!$C$5:$C$557,'Jul17-Jun18 Retail'!$E47)</f>
        <v>0</v>
      </c>
      <c r="AH47" s="48">
        <f ca="1">SUMIFS(Adjustments!I$5:I$557,Adjustments!$B$5:$B$557,'Jul17-Jun18 Retail'!$D47,Adjustments!$C$5:$C$557,'Jul17-Jun18 Retail'!$E47)</f>
        <v>0</v>
      </c>
      <c r="AI47" s="40">
        <f ca="1">SUMIFS(Adjustments!J$5:J$557,Adjustments!$B$5:$B$557,'Jul17-Jun18 Retail'!$D47,Adjustments!$C$5:$C$557,'Jul17-Jun18 Retail'!$E47)</f>
        <v>0</v>
      </c>
      <c r="AJ47" s="40">
        <f ca="1">SUMIFS(Adjustments!K$5:K$557,Adjustments!$B$5:$B$557,'Jul17-Jun18 Retail'!$D47,Adjustments!$C$5:$C$557,'Jul17-Jun18 Retail'!$E47)</f>
        <v>0</v>
      </c>
      <c r="AK47" s="40">
        <f ca="1">SUMIFS(Adjustments!L$5:L$557,Adjustments!$B$5:$B$557,'Jul17-Jun18 Retail'!$D47,Adjustments!$C$5:$C$557,'Jul17-Jun18 Retail'!$E47)</f>
        <v>0</v>
      </c>
      <c r="AL47" s="40">
        <f ca="1">SUMIFS(Adjustments!M$5:M$557,Adjustments!$B$5:$B$557,'Jul17-Jun18 Retail'!$D47,Adjustments!$C$5:$C$557,'Jul17-Jun18 Retail'!$E47)</f>
        <v>0</v>
      </c>
      <c r="AM47" s="40">
        <f ca="1">SUMIFS(Adjustments!N$5:N$557,Adjustments!$B$5:$B$557,'Jul17-Jun18 Retail'!$D47,Adjustments!$C$5:$C$557,'Jul17-Jun18 Retail'!$E47)</f>
        <v>0</v>
      </c>
      <c r="AN47" s="40">
        <f ca="1">SUMIFS(Adjustments!O$5:O$557,Adjustments!$B$5:$B$557,'Jul17-Jun18 Retail'!$D47,Adjustments!$C$5:$C$557,'Jul17-Jun18 Retail'!$E47)</f>
        <v>0</v>
      </c>
      <c r="AO47" s="40">
        <f ca="1">SUMIFS(Adjustments!P$5:P$557,Adjustments!$B$5:$B$557,'Jul17-Jun18 Retail'!$D47,Adjustments!$C$5:$C$557,'Jul17-Jun18 Retail'!$E47)</f>
        <v>0</v>
      </c>
      <c r="AP47" s="28">
        <f t="shared" ref="AP47" ca="1" si="173">+W47+AI47+(AG47*N47)</f>
        <v>4004775</v>
      </c>
      <c r="AQ47" s="28">
        <f t="shared" ca="1" si="152"/>
        <v>0</v>
      </c>
      <c r="AR47" s="28">
        <f t="shared" ca="1" si="153"/>
        <v>9707429.7264146768</v>
      </c>
      <c r="AS47" s="28">
        <f t="shared" ca="1" si="154"/>
        <v>0</v>
      </c>
      <c r="AT47" s="35">
        <f t="shared" si="155"/>
        <v>13379634.393842699</v>
      </c>
      <c r="AU47" s="35">
        <f t="shared" si="156"/>
        <v>107167.495247463</v>
      </c>
      <c r="AV47" s="35"/>
      <c r="AW47" s="35">
        <f t="shared" si="157"/>
        <v>1830476.0627248799</v>
      </c>
      <c r="AX47" s="28">
        <f t="shared" ca="1" si="158"/>
        <v>0</v>
      </c>
      <c r="AY47" s="28"/>
      <c r="AZ47" s="35">
        <f t="shared" ref="AZ47" ca="1" si="174">ROUND(SUM(AP47:AY47),2)</f>
        <v>29029482.68</v>
      </c>
      <c r="BA47" s="35">
        <f t="shared" ref="BA47" si="175">SUM(BC47:BJ47)-BF47</f>
        <v>29029482.679146804</v>
      </c>
      <c r="BB47" s="36">
        <f t="shared" ca="1" si="160"/>
        <v>1</v>
      </c>
      <c r="BC47" s="35">
        <f>SUMIFS('Fin Forecast'!$P$3:$P$600,'Fin Forecast'!$B$3:$B$600,'Jul17-Jun18 Retail'!$E47,'Fin Forecast'!$C$3:$C$600,'Jul17-Jun18 Retail'!$BC$5)*1000</f>
        <v>107167.495247463</v>
      </c>
      <c r="BD47" s="35">
        <f>SUMIFS('Fin Forecast'!$P$3:$P$600,'Fin Forecast'!$B$3:$B$600,'Jul17-Jun18 Retail'!$E47,'Fin Forecast'!$C$3:$C$600,'Jul17-Jun18 Retail'!$BD$5)*1000</f>
        <v>13379634.393842699</v>
      </c>
      <c r="BE47" s="35"/>
      <c r="BF47" s="35"/>
      <c r="BG47" s="35">
        <f>SUMIFS('Fin Forecast'!$P$3:$P$600,'Fin Forecast'!$B$3:$B$600,'Jul17-Jun18 Retail'!$E47,'Fin Forecast'!$C$3:$C$600,'Jul17-Jun18 Retail'!$BG$5)*1000</f>
        <v>4004775</v>
      </c>
      <c r="BH47" s="35">
        <f>SUMIFS('Fin Forecast'!$P$3:$P$600,'Fin Forecast'!$B$3:$B$600,'Jul17-Jun18 Retail'!$E47,'Fin Forecast'!$C$3:$C$600,'Jul17-Jun18 Retail'!$BH$5)*1000</f>
        <v>9707429.7273317613</v>
      </c>
      <c r="BI47" s="35">
        <f>SUMIFS('Fin Forecast'!$P$3:$P$600,'Fin Forecast'!$B$3:$B$600,'Jul17-Jun18 Retail'!$E47,'Fin Forecast'!$C$3:$C$600,'Jul17-Jun18 Retail'!$BI$5)*1000</f>
        <v>0</v>
      </c>
      <c r="BJ47" s="35">
        <f>SUMIFS('Fin Forecast'!$P$3:$P$600,'Fin Forecast'!$B$3:$B$600,'Jul17-Jun18 Retail'!$E47,'Fin Forecast'!$C$3:$C$600,'Jul17-Jun18 Retail'!$BJ$5)*1000</f>
        <v>1830476.0627248799</v>
      </c>
      <c r="BL47" s="44">
        <f t="shared" ca="1" si="161"/>
        <v>8.5319578647613525E-4</v>
      </c>
      <c r="BN47" s="49">
        <f t="shared" ca="1" si="162"/>
        <v>0</v>
      </c>
      <c r="BO47" s="49">
        <f t="shared" ca="1" si="163"/>
        <v>-9.1708451509475708E-4</v>
      </c>
      <c r="BP47" s="49">
        <f t="shared" si="164"/>
        <v>0</v>
      </c>
    </row>
    <row r="48" spans="1:68" s="323" customFormat="1" ht="15" x14ac:dyDescent="0.25">
      <c r="C48" s="324"/>
      <c r="D48" s="362"/>
      <c r="E48" s="362"/>
      <c r="F48" s="324"/>
      <c r="G48" s="324"/>
      <c r="H48" s="325"/>
      <c r="I48" s="325"/>
      <c r="J48" s="325"/>
      <c r="K48" s="325"/>
      <c r="L48" s="325"/>
      <c r="M48" s="325"/>
      <c r="N48" s="326"/>
      <c r="O48" s="326"/>
      <c r="P48" s="327"/>
      <c r="Q48" s="327"/>
      <c r="R48" s="327"/>
      <c r="S48" s="326"/>
      <c r="T48" s="327"/>
      <c r="U48" s="326"/>
      <c r="V48" s="328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30"/>
      <c r="AH48" s="330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31"/>
      <c r="BC48" s="329"/>
      <c r="BD48" s="329"/>
      <c r="BE48" s="329"/>
      <c r="BF48" s="329"/>
      <c r="BG48" s="329"/>
      <c r="BH48" s="329"/>
      <c r="BI48" s="329"/>
      <c r="BJ48" s="329"/>
      <c r="BL48" s="329"/>
      <c r="BN48" s="329"/>
      <c r="BO48" s="329"/>
      <c r="BP48" s="329"/>
    </row>
    <row r="49" spans="1:68" ht="15" x14ac:dyDescent="0.25">
      <c r="C49" s="6">
        <f>C47+1</f>
        <v>37</v>
      </c>
      <c r="D49" s="361">
        <f>EDATE(D42,1)</f>
        <v>43101</v>
      </c>
      <c r="E49" s="361" t="str">
        <f>+'Retail Rates'!$B$7</f>
        <v>LGCMG865</v>
      </c>
      <c r="F49" s="6" t="str">
        <f>MID(E49,6,3)</f>
        <v>865</v>
      </c>
      <c r="G49" s="6" t="str">
        <f>VLOOKUP(E49,'Retail Rates'!$B$7:$D$34,3,FALSE)</f>
        <v>AAGS-C</v>
      </c>
      <c r="H49" s="25">
        <f>SUMIF('Forcasted Customer Cts'!$D$5:$D$36,'Jul17-Jun18 Retail'!$E49,'Forcasted Customer Cts'!$V$5:$V$36)</f>
        <v>4</v>
      </c>
      <c r="I49" s="25"/>
      <c r="J49" s="25"/>
      <c r="K49" s="25">
        <f>SUMIF('Forecasted Calendar Month Usage'!$D$5:$D$41,'Jul17-Jun18 Retail'!$E49,'Forecasted Calendar Month Usage'!$AD$5:$AD$41)*10</f>
        <v>111499.93183389172</v>
      </c>
      <c r="L49" s="25"/>
      <c r="M49" s="25"/>
      <c r="N49" s="26">
        <f>VLOOKUP($E49,'Retail Rates'!$B$7:$L$34,5,FALSE)</f>
        <v>400</v>
      </c>
      <c r="O49" s="26">
        <f>VLOOKUP($E49,'Retail Rates'!$B$7:$L$34,6,FALSE)</f>
        <v>0</v>
      </c>
      <c r="P49" s="27">
        <f>VLOOKUP($E49,'Retail Rates'!$B$7:$L$34,7,FALSE)</f>
        <v>7.009E-2</v>
      </c>
      <c r="Q49" s="27">
        <f>VLOOKUP($E49,'Retail Rates'!$B$7:$L$34,8,FALSE)</f>
        <v>0</v>
      </c>
      <c r="R49" s="27"/>
      <c r="S49" s="26">
        <f>VLOOKUP($E49,'Retail Rates'!$B$7:$L$34,9,FALSE)</f>
        <v>0</v>
      </c>
      <c r="T49" s="27">
        <f>VLOOKUP($E49,'Retail Rates'!$B$7:$L$34,10,FALSE)</f>
        <v>0</v>
      </c>
      <c r="U49" s="26">
        <f>VLOOKUP($E49,'Retail Rates'!$B$7:$L$34,11,FALSE)</f>
        <v>0</v>
      </c>
      <c r="V49" s="309"/>
      <c r="W49" s="28">
        <f t="shared" ref="W49:W54" si="176">(+H49*N49)+(I49*N49)</f>
        <v>1600</v>
      </c>
      <c r="X49" s="28"/>
      <c r="Y49" s="28"/>
      <c r="Z49" s="28">
        <f t="shared" ref="Z49:Z54" si="177">+K49*P49</f>
        <v>7815.0302222374703</v>
      </c>
      <c r="AA49" s="28">
        <f t="shared" ref="AA49:AA54" si="178">+L49*Q49</f>
        <v>0</v>
      </c>
      <c r="AB49" s="28">
        <f t="shared" ref="AB49:AB54" si="179">SUM(K49:L49)*R49</f>
        <v>0</v>
      </c>
      <c r="AC49" s="28"/>
      <c r="AD49" s="28"/>
      <c r="AE49" s="28">
        <f>M49*U49</f>
        <v>0</v>
      </c>
      <c r="AF49" s="28">
        <f t="shared" ref="AF49:AF52" si="180">(+H49*V49)+(I49*V49)</f>
        <v>0</v>
      </c>
      <c r="AG49" s="48">
        <f ca="1">SUMIFS(Adjustments!H$5:H$557,Adjustments!$B$5:$B$557,'Jul17-Jun18 Retail'!$D49,Adjustments!$C$5:$C$557,'Jul17-Jun18 Retail'!$E49)</f>
        <v>0</v>
      </c>
      <c r="AH49" s="48">
        <f ca="1">SUMIFS(Adjustments!I$5:I$557,Adjustments!$B$5:$B$557,'Jul17-Jun18 Retail'!$D49,Adjustments!$C$5:$C$557,'Jul17-Jun18 Retail'!$E49)</f>
        <v>0</v>
      </c>
      <c r="AI49" s="40">
        <f ca="1">SUMIFS(Adjustments!J$5:J$557,Adjustments!$B$5:$B$557,'Jul17-Jun18 Retail'!$D49,Adjustments!$C$5:$C$557,'Jul17-Jun18 Retail'!$E49)</f>
        <v>0</v>
      </c>
      <c r="AJ49" s="40">
        <f ca="1">SUMIFS(Adjustments!K$5:K$557,Adjustments!$B$5:$B$557,'Jul17-Jun18 Retail'!$D49,Adjustments!$C$5:$C$557,'Jul17-Jun18 Retail'!$E49)</f>
        <v>0</v>
      </c>
      <c r="AK49" s="40">
        <f ca="1">SUMIFS(Adjustments!L$5:L$557,Adjustments!$B$5:$B$557,'Jul17-Jun18 Retail'!$D49,Adjustments!$C$5:$C$557,'Jul17-Jun18 Retail'!$E49)</f>
        <v>0</v>
      </c>
      <c r="AL49" s="40">
        <f ca="1">SUMIFS(Adjustments!M$5:M$557,Adjustments!$B$5:$B$557,'Jul17-Jun18 Retail'!$D49,Adjustments!$C$5:$C$557,'Jul17-Jun18 Retail'!$E49)</f>
        <v>0</v>
      </c>
      <c r="AM49" s="40">
        <f ca="1">SUMIFS(Adjustments!N$5:N$557,Adjustments!$B$5:$B$557,'Jul17-Jun18 Retail'!$D49,Adjustments!$C$5:$C$557,'Jul17-Jun18 Retail'!$E49)</f>
        <v>0</v>
      </c>
      <c r="AN49" s="40">
        <f ca="1">SUMIFS(Adjustments!O$5:O$557,Adjustments!$B$5:$B$557,'Jul17-Jun18 Retail'!$D49,Adjustments!$C$5:$C$557,'Jul17-Jun18 Retail'!$E49)</f>
        <v>0</v>
      </c>
      <c r="AO49" s="40">
        <f ca="1">SUMIFS(Adjustments!P$5:P$557,Adjustments!$B$5:$B$557,'Jul17-Jun18 Retail'!$D49,Adjustments!$C$5:$C$557,'Jul17-Jun18 Retail'!$E49)</f>
        <v>0</v>
      </c>
      <c r="AP49" s="28">
        <f t="shared" ref="AP49:AP53" ca="1" si="181">+W49+AI49+(AG49*N49)</f>
        <v>1600</v>
      </c>
      <c r="AQ49" s="28">
        <f t="shared" ref="AQ49:AQ54" ca="1" si="182">+Y49+AJ49</f>
        <v>0</v>
      </c>
      <c r="AR49" s="28">
        <f t="shared" ref="AR49:AR54" ca="1" si="183">+Z49+AK49</f>
        <v>7815.0302222374703</v>
      </c>
      <c r="AS49" s="28">
        <f t="shared" ref="AS49:AS54" ca="1" si="184">+AA49+AL49</f>
        <v>0</v>
      </c>
      <c r="AT49" s="35">
        <f t="shared" ref="AT49:AT54" si="185">BD49</f>
        <v>48012.755401286413</v>
      </c>
      <c r="AU49" s="35">
        <f t="shared" ref="AU49:AU54" si="186">BC49</f>
        <v>499.98776210176698</v>
      </c>
      <c r="AV49" s="35"/>
      <c r="AW49" s="35">
        <f t="shared" ref="AW49:AW54" si="187">BJ49</f>
        <v>17216.693868969549</v>
      </c>
      <c r="AX49" s="28">
        <f t="shared" ref="AX49:AX54" ca="1" si="188">+AE49+AO49</f>
        <v>0</v>
      </c>
      <c r="AY49" s="28"/>
      <c r="AZ49" s="35">
        <f t="shared" ref="AZ49:AZ50" ca="1" si="189">ROUND(SUM(AP49:AY49),2)</f>
        <v>75144.47</v>
      </c>
      <c r="BA49" s="35">
        <f>SUM(BC49:BJ49)-BF49</f>
        <v>75144.467255023308</v>
      </c>
      <c r="BB49" s="36">
        <f t="shared" ref="BB49:BB54" ca="1" si="190">IF(BA49=0,0,ROUND(BA49/AZ49,6))</f>
        <v>1</v>
      </c>
      <c r="BC49" s="35">
        <f>SUMIFS('Fin Forecast'!$Q$3:$Q$600,'Fin Forecast'!$B$3:$B$600,'Jul17-Jun18 Retail'!$E49,'Fin Forecast'!$C$3:$C$600,'Jul17-Jun18 Retail'!$BC$5)*1000</f>
        <v>499.98776210176698</v>
      </c>
      <c r="BD49" s="35">
        <f>SUMIFS('Fin Forecast'!$Q$3:$Q$600,'Fin Forecast'!$B$3:$B$600,'Jul17-Jun18 Retail'!$E49,'Fin Forecast'!$C$3:$C$600,'Jul17-Jun18 Retail'!$BD$5)*1000</f>
        <v>48012.755401286413</v>
      </c>
      <c r="BE49" s="35"/>
      <c r="BF49" s="35"/>
      <c r="BG49" s="35">
        <f>SUMIFS('Fin Forecast'!$Q$3:$Q$600,'Fin Forecast'!$B$3:$B$600,'Jul17-Jun18 Retail'!$E49,'Fin Forecast'!$C$3:$C$600,'Jul17-Jun18 Retail'!$BG$5)*1000</f>
        <v>1600</v>
      </c>
      <c r="BH49" s="35">
        <f>SUMIFS('Fin Forecast'!$Q$3:$Q$600,'Fin Forecast'!$B$3:$B$600,'Jul17-Jun18 Retail'!$E49,'Fin Forecast'!$C$3:$C$600,'Jul17-Jun18 Retail'!$BH$5)*1000</f>
        <v>7815.0302226655804</v>
      </c>
      <c r="BI49" s="35">
        <f>SUMIFS('Fin Forecast'!$Q$3:$Q$600,'Fin Forecast'!$B$3:$B$600,'Jul17-Jun18 Retail'!$E49,'Fin Forecast'!$C$3:$C$600,'Jul17-Jun18 Retail'!$BI$5)*1000</f>
        <v>0</v>
      </c>
      <c r="BJ49" s="35">
        <f>SUMIFS('Fin Forecast'!$Q$3:$Q$600,'Fin Forecast'!$B$3:$B$600,'Jul17-Jun18 Retail'!$E49,'Fin Forecast'!$C$3:$C$600,'Jul17-Jun18 Retail'!$BJ$5)*1000</f>
        <v>17216.693868969549</v>
      </c>
      <c r="BL49" s="44">
        <f t="shared" ref="BL49:BL54" ca="1" si="191">+AZ49-BA49</f>
        <v>2.744976693065837E-3</v>
      </c>
      <c r="BN49" s="49">
        <f t="shared" ref="BN49:BN54" ca="1" si="192">+AP49+AQ49-BG49</f>
        <v>0</v>
      </c>
      <c r="BO49" s="49">
        <f t="shared" ref="BO49:BO54" ca="1" si="193">+AR49+AS49-BH49</f>
        <v>-4.281100700609386E-7</v>
      </c>
      <c r="BP49" s="49">
        <f t="shared" ref="BP49:BP54" si="194">+AT49-BD49</f>
        <v>0</v>
      </c>
    </row>
    <row r="50" spans="1:68" ht="15" x14ac:dyDescent="0.25">
      <c r="C50" s="6">
        <f>C49+1</f>
        <v>38</v>
      </c>
      <c r="D50" s="361">
        <f>$D$49</f>
        <v>43101</v>
      </c>
      <c r="E50" s="361" t="str">
        <f>+'Retail Rates'!$B$10</f>
        <v>LGING866</v>
      </c>
      <c r="F50" s="6" t="str">
        <f t="shared" ref="F50:F54" si="195">MID(E50,6,3)</f>
        <v>866</v>
      </c>
      <c r="G50" s="6" t="str">
        <f>VLOOKUP(E50,'Retail Rates'!$B$7:$D$34,3,FALSE)</f>
        <v>AAGS-I</v>
      </c>
      <c r="H50" s="25">
        <f>SUMIF('Forcasted Customer Cts'!$D$5:$D$36,'Jul17-Jun18 Retail'!$E50,'Forcasted Customer Cts'!$V$5:$V$36)</f>
        <v>0</v>
      </c>
      <c r="I50" s="25"/>
      <c r="J50" s="25"/>
      <c r="K50" s="25">
        <f>SUMIF('Forecasted Calendar Month Usage'!$D$5:$D$41,'Jul17-Jun18 Retail'!$E50,'Forecasted Calendar Month Usage'!$AD$5:$AD$41)*10</f>
        <v>0</v>
      </c>
      <c r="L50" s="25"/>
      <c r="M50" s="25"/>
      <c r="N50" s="26">
        <f>VLOOKUP($E50,'Retail Rates'!$B$7:$L$34,5,FALSE)</f>
        <v>400</v>
      </c>
      <c r="O50" s="26">
        <f>VLOOKUP($E50,'Retail Rates'!$B$7:$L$34,6,FALSE)</f>
        <v>0</v>
      </c>
      <c r="P50" s="27">
        <f>VLOOKUP($E50,'Retail Rates'!$B$7:$L$34,7,FALSE)</f>
        <v>7.009E-2</v>
      </c>
      <c r="Q50" s="27">
        <f>VLOOKUP($E50,'Retail Rates'!$B$7:$L$34,8,FALSE)</f>
        <v>0</v>
      </c>
      <c r="R50" s="27"/>
      <c r="S50" s="26">
        <f>VLOOKUP($E50,'Retail Rates'!$B$7:$L$34,9,FALSE)</f>
        <v>0</v>
      </c>
      <c r="T50" s="27">
        <f>VLOOKUP($E50,'Retail Rates'!$B$7:$L$34,10,FALSE)</f>
        <v>0</v>
      </c>
      <c r="U50" s="26">
        <f>VLOOKUP($E50,'Retail Rates'!$B$7:$L$34,11,FALSE)</f>
        <v>0</v>
      </c>
      <c r="V50" s="309"/>
      <c r="W50" s="28">
        <f t="shared" si="176"/>
        <v>0</v>
      </c>
      <c r="X50" s="28"/>
      <c r="Y50" s="28"/>
      <c r="Z50" s="28">
        <f t="shared" si="177"/>
        <v>0</v>
      </c>
      <c r="AA50" s="28">
        <f t="shared" si="178"/>
        <v>0</v>
      </c>
      <c r="AB50" s="28">
        <f t="shared" si="179"/>
        <v>0</v>
      </c>
      <c r="AC50" s="28"/>
      <c r="AD50" s="28"/>
      <c r="AE50" s="28">
        <f t="shared" ref="AE50:AE54" si="196">M50*U50</f>
        <v>0</v>
      </c>
      <c r="AF50" s="28">
        <f t="shared" si="180"/>
        <v>0</v>
      </c>
      <c r="AG50" s="48">
        <f ca="1">SUMIFS(Adjustments!H$5:H$557,Adjustments!$B$5:$B$557,'Jul17-Jun18 Retail'!$D50,Adjustments!$C$5:$C$557,'Jul17-Jun18 Retail'!$E50)</f>
        <v>0</v>
      </c>
      <c r="AH50" s="48">
        <f ca="1">SUMIFS(Adjustments!I$5:I$557,Adjustments!$B$5:$B$557,'Jul17-Jun18 Retail'!$D50,Adjustments!$C$5:$C$557,'Jul17-Jun18 Retail'!$E50)</f>
        <v>0</v>
      </c>
      <c r="AI50" s="40">
        <f ca="1">SUMIFS(Adjustments!J$5:J$557,Adjustments!$B$5:$B$557,'Jul17-Jun18 Retail'!$D50,Adjustments!$C$5:$C$557,'Jul17-Jun18 Retail'!$E50)</f>
        <v>0</v>
      </c>
      <c r="AJ50" s="40">
        <f ca="1">SUMIFS(Adjustments!K$5:K$557,Adjustments!$B$5:$B$557,'Jul17-Jun18 Retail'!$D50,Adjustments!$C$5:$C$557,'Jul17-Jun18 Retail'!$E50)</f>
        <v>0</v>
      </c>
      <c r="AK50" s="40">
        <f ca="1">SUMIFS(Adjustments!L$5:L$557,Adjustments!$B$5:$B$557,'Jul17-Jun18 Retail'!$D50,Adjustments!$C$5:$C$557,'Jul17-Jun18 Retail'!$E50)</f>
        <v>0</v>
      </c>
      <c r="AL50" s="40">
        <f ca="1">SUMIFS(Adjustments!M$5:M$557,Adjustments!$B$5:$B$557,'Jul17-Jun18 Retail'!$D50,Adjustments!$C$5:$C$557,'Jul17-Jun18 Retail'!$E50)</f>
        <v>0</v>
      </c>
      <c r="AM50" s="40">
        <f ca="1">SUMIFS(Adjustments!N$5:N$557,Adjustments!$B$5:$B$557,'Jul17-Jun18 Retail'!$D50,Adjustments!$C$5:$C$557,'Jul17-Jun18 Retail'!$E50)</f>
        <v>0</v>
      </c>
      <c r="AN50" s="40">
        <f ca="1">SUMIFS(Adjustments!O$5:O$557,Adjustments!$B$5:$B$557,'Jul17-Jun18 Retail'!$D50,Adjustments!$C$5:$C$557,'Jul17-Jun18 Retail'!$E50)</f>
        <v>0</v>
      </c>
      <c r="AO50" s="40">
        <f ca="1">SUMIFS(Adjustments!P$5:P$557,Adjustments!$B$5:$B$557,'Jul17-Jun18 Retail'!$D50,Adjustments!$C$5:$C$557,'Jul17-Jun18 Retail'!$E50)</f>
        <v>0</v>
      </c>
      <c r="AP50" s="28">
        <f t="shared" ca="1" si="181"/>
        <v>0</v>
      </c>
      <c r="AQ50" s="28">
        <f t="shared" ca="1" si="182"/>
        <v>0</v>
      </c>
      <c r="AR50" s="28">
        <f t="shared" ca="1" si="183"/>
        <v>0</v>
      </c>
      <c r="AS50" s="28">
        <f t="shared" ca="1" si="184"/>
        <v>0</v>
      </c>
      <c r="AT50" s="35">
        <f t="shared" si="185"/>
        <v>0</v>
      </c>
      <c r="AU50" s="35">
        <f t="shared" si="186"/>
        <v>0</v>
      </c>
      <c r="AV50" s="35"/>
      <c r="AW50" s="35">
        <f t="shared" si="187"/>
        <v>0</v>
      </c>
      <c r="AX50" s="28">
        <f t="shared" ca="1" si="188"/>
        <v>0</v>
      </c>
      <c r="AY50" s="28"/>
      <c r="AZ50" s="35">
        <f t="shared" ca="1" si="189"/>
        <v>0</v>
      </c>
      <c r="BA50" s="35">
        <f t="shared" ref="BA50" si="197">SUM(BC50:BJ50)-BF50</f>
        <v>0</v>
      </c>
      <c r="BB50" s="36">
        <f t="shared" si="190"/>
        <v>0</v>
      </c>
      <c r="BC50" s="35">
        <f>SUMIFS('Fin Forecast'!$Q$3:$Q$600,'Fin Forecast'!$B$3:$B$600,'Jul17-Jun18 Retail'!$E50,'Fin Forecast'!$C$3:$C$600,'Jul17-Jun18 Retail'!$BC$5)*1000</f>
        <v>0</v>
      </c>
      <c r="BD50" s="35">
        <f>SUMIFS('Fin Forecast'!$Q$3:$Q$600,'Fin Forecast'!$B$3:$B$600,'Jul17-Jun18 Retail'!$E50,'Fin Forecast'!$C$3:$C$600,'Jul17-Jun18 Retail'!$BD$5)*1000</f>
        <v>0</v>
      </c>
      <c r="BE50" s="35"/>
      <c r="BF50" s="35"/>
      <c r="BG50" s="35">
        <f>SUMIFS('Fin Forecast'!$Q$3:$Q$600,'Fin Forecast'!$B$3:$B$600,'Jul17-Jun18 Retail'!$E50,'Fin Forecast'!$C$3:$C$600,'Jul17-Jun18 Retail'!$BG$5)*1000</f>
        <v>0</v>
      </c>
      <c r="BH50" s="35">
        <f>SUMIFS('Fin Forecast'!$Q$3:$Q$600,'Fin Forecast'!$B$3:$B$600,'Jul17-Jun18 Retail'!$E50,'Fin Forecast'!$C$3:$C$600,'Jul17-Jun18 Retail'!$BH$5)*1000</f>
        <v>0</v>
      </c>
      <c r="BI50" s="35">
        <f>SUMIFS('Fin Forecast'!$Q$3:$Q$600,'Fin Forecast'!$B$3:$B$600,'Jul17-Jun18 Retail'!$E50,'Fin Forecast'!$C$3:$C$600,'Jul17-Jun18 Retail'!$BI$5)*1000</f>
        <v>0</v>
      </c>
      <c r="BJ50" s="35">
        <f>SUMIFS('Fin Forecast'!$Q$3:$Q$600,'Fin Forecast'!$B$3:$B$600,'Jul17-Jun18 Retail'!$E50,'Fin Forecast'!$C$3:$C$600,'Jul17-Jun18 Retail'!$BJ$5)*1000</f>
        <v>0</v>
      </c>
      <c r="BL50" s="44">
        <f t="shared" ca="1" si="191"/>
        <v>0</v>
      </c>
      <c r="BN50" s="49">
        <f t="shared" ca="1" si="192"/>
        <v>0</v>
      </c>
      <c r="BO50" s="49">
        <f t="shared" ca="1" si="193"/>
        <v>0</v>
      </c>
      <c r="BP50" s="49">
        <f t="shared" si="194"/>
        <v>0</v>
      </c>
    </row>
    <row r="51" spans="1:68" ht="15" x14ac:dyDescent="0.25">
      <c r="A51" s="304" t="s">
        <v>443</v>
      </c>
      <c r="B51" s="304" t="s">
        <v>444</v>
      </c>
      <c r="C51" s="6">
        <f>C50+1</f>
        <v>39</v>
      </c>
      <c r="D51" s="361">
        <f>$D$49</f>
        <v>43101</v>
      </c>
      <c r="E51" s="361" t="str">
        <f>+'Retail Rates'!$B$15</f>
        <v>LGCMG851</v>
      </c>
      <c r="F51" s="6" t="str">
        <f t="shared" si="195"/>
        <v>851</v>
      </c>
      <c r="G51" s="6" t="str">
        <f>VLOOKUP(E51,'Retail Rates'!$B$7:$D$34,3,FALSE)</f>
        <v>CGS</v>
      </c>
      <c r="H51" s="25"/>
      <c r="I51" s="25">
        <f>SUMIFS('Forcasted Customer Cts'!$V$5:$V$36,'Forcasted Customer Cts'!$D$5:$D$36,'Jul17-Jun18 Retail'!$E51,'Forcasted Customer Cts'!$C$5:$C$36,'Jul17-Jun18 Retail'!$A$9)</f>
        <v>24228</v>
      </c>
      <c r="J51" s="25">
        <f>SUMIFS('Forcasted Customer Cts'!$V$5:$V$36,'Forcasted Customer Cts'!$D$5:$D$36,'Jul17-Jun18 Retail'!$E51,'Forcasted Customer Cts'!$C$5:$C$36,'Jul17-Jun18 Retail'!$B$9)</f>
        <v>1009</v>
      </c>
      <c r="K51" s="25">
        <f>SUMIF('Forecasted Calendar Month Usage'!$D$5:$D$41,'Jul17-Jun18 Retail'!$E51,'Forecasted Calendar Month Usage'!$AD$5:$AD$41)*10</f>
        <v>20404895.71561183</v>
      </c>
      <c r="L51" s="25"/>
      <c r="M51" s="25"/>
      <c r="N51" s="26">
        <f>VLOOKUP($E51,'Retail Rates'!$B$7:$L$34,5,FALSE)</f>
        <v>40</v>
      </c>
      <c r="O51" s="26">
        <f>VLOOKUP($E51,'Retail Rates'!$B$7:$L$34,6,FALSE)</f>
        <v>180</v>
      </c>
      <c r="P51" s="27">
        <f>VLOOKUP($E51,'Retail Rates'!$B$7:$L$34,7,FALSE)</f>
        <v>0.21504000000000001</v>
      </c>
      <c r="Q51" s="27">
        <f>VLOOKUP($E51,'Retail Rates'!$B$7:$L$34,8,FALSE)</f>
        <v>0.16504000000000002</v>
      </c>
      <c r="R51" s="27"/>
      <c r="S51" s="26">
        <f>VLOOKUP($E51,'Retail Rates'!$B$7:$L$34,9,FALSE)</f>
        <v>0</v>
      </c>
      <c r="T51" s="27">
        <f>VLOOKUP($E51,'Retail Rates'!$B$7:$L$34,10,FALSE)</f>
        <v>0</v>
      </c>
      <c r="U51" s="26">
        <f>VLOOKUP($E51,'Retail Rates'!$B$7:$L$34,11,FALSE)</f>
        <v>0</v>
      </c>
      <c r="V51" s="309"/>
      <c r="W51" s="28">
        <f t="shared" si="176"/>
        <v>969120</v>
      </c>
      <c r="X51" s="28"/>
      <c r="Y51" s="28">
        <f>+J51*O51</f>
        <v>181620</v>
      </c>
      <c r="Z51" s="28">
        <f t="shared" si="177"/>
        <v>4387868.7746851686</v>
      </c>
      <c r="AA51" s="28">
        <f t="shared" si="178"/>
        <v>0</v>
      </c>
      <c r="AB51" s="28">
        <f t="shared" si="179"/>
        <v>0</v>
      </c>
      <c r="AC51" s="28"/>
      <c r="AD51" s="28"/>
      <c r="AE51" s="28">
        <f t="shared" si="196"/>
        <v>0</v>
      </c>
      <c r="AF51" s="28">
        <f t="shared" si="180"/>
        <v>0</v>
      </c>
      <c r="AG51" s="48">
        <f ca="1">SUMIFS(Adjustments!H$5:H$557,Adjustments!$B$5:$B$557,'Jul17-Jun18 Retail'!$D51,Adjustments!$C$5:$C$557,'Jul17-Jun18 Retail'!$E51)</f>
        <v>0</v>
      </c>
      <c r="AH51" s="48">
        <f ca="1">SUMIFS(Adjustments!I$5:I$557,Adjustments!$B$5:$B$557,'Jul17-Jun18 Retail'!$D51,Adjustments!$C$5:$C$557,'Jul17-Jun18 Retail'!$E51)</f>
        <v>0</v>
      </c>
      <c r="AI51" s="40">
        <f ca="1">SUMIFS(Adjustments!J$5:J$557,Adjustments!$B$5:$B$557,'Jul17-Jun18 Retail'!$D51,Adjustments!$C$5:$C$557,'Jul17-Jun18 Retail'!$E51)</f>
        <v>0</v>
      </c>
      <c r="AJ51" s="40">
        <f ca="1">SUMIFS(Adjustments!K$5:K$557,Adjustments!$B$5:$B$557,'Jul17-Jun18 Retail'!$D51,Adjustments!$C$5:$C$557,'Jul17-Jun18 Retail'!$E51)</f>
        <v>0</v>
      </c>
      <c r="AK51" s="40">
        <f ca="1">SUMIFS(Adjustments!L$5:L$557,Adjustments!$B$5:$B$557,'Jul17-Jun18 Retail'!$D51,Adjustments!$C$5:$C$557,'Jul17-Jun18 Retail'!$E51)</f>
        <v>0</v>
      </c>
      <c r="AL51" s="40">
        <f ca="1">SUMIFS(Adjustments!M$5:M$557,Adjustments!$B$5:$B$557,'Jul17-Jun18 Retail'!$D51,Adjustments!$C$5:$C$557,'Jul17-Jun18 Retail'!$E51)</f>
        <v>0</v>
      </c>
      <c r="AM51" s="40">
        <f ca="1">SUMIFS(Adjustments!N$5:N$557,Adjustments!$B$5:$B$557,'Jul17-Jun18 Retail'!$D51,Adjustments!$C$5:$C$557,'Jul17-Jun18 Retail'!$E51)</f>
        <v>0</v>
      </c>
      <c r="AN51" s="40">
        <f ca="1">SUMIFS(Adjustments!O$5:O$557,Adjustments!$B$5:$B$557,'Jul17-Jun18 Retail'!$D51,Adjustments!$C$5:$C$557,'Jul17-Jun18 Retail'!$E51)</f>
        <v>0</v>
      </c>
      <c r="AO51" s="40">
        <f ca="1">SUMIFS(Adjustments!P$5:P$557,Adjustments!$B$5:$B$557,'Jul17-Jun18 Retail'!$D51,Adjustments!$C$5:$C$557,'Jul17-Jun18 Retail'!$E51)</f>
        <v>0</v>
      </c>
      <c r="AP51" s="28">
        <f t="shared" ca="1" si="181"/>
        <v>969120</v>
      </c>
      <c r="AQ51" s="28">
        <f t="shared" ca="1" si="182"/>
        <v>181620</v>
      </c>
      <c r="AR51" s="28">
        <f t="shared" ca="1" si="183"/>
        <v>4387868.7746851686</v>
      </c>
      <c r="AS51" s="28">
        <f t="shared" ca="1" si="184"/>
        <v>0</v>
      </c>
      <c r="AT51" s="35">
        <f t="shared" si="185"/>
        <v>8786510.0059764702</v>
      </c>
      <c r="AU51" s="35">
        <f t="shared" si="186"/>
        <v>105631.10940327999</v>
      </c>
      <c r="AV51" s="35"/>
      <c r="AW51" s="35">
        <f t="shared" si="187"/>
        <v>889056.54564784397</v>
      </c>
      <c r="AX51" s="28">
        <f t="shared" ca="1" si="188"/>
        <v>0</v>
      </c>
      <c r="AY51" s="28"/>
      <c r="AZ51" s="35">
        <f t="shared" ref="AZ51:AZ53" ca="1" si="198">ROUND(SUM(AP51:AY51),2)</f>
        <v>15319806.439999999</v>
      </c>
      <c r="BA51" s="35">
        <f t="shared" ref="BA51:BA53" si="199">SUM(BC51:BJ51)-BF51</f>
        <v>15319806.434796508</v>
      </c>
      <c r="BB51" s="36">
        <f t="shared" ca="1" si="190"/>
        <v>1</v>
      </c>
      <c r="BC51" s="35">
        <f>SUMIFS('Fin Forecast'!$Q$3:$Q$600,'Fin Forecast'!$B$3:$B$600,'Jul17-Jun18 Retail'!$E51,'Fin Forecast'!$C$3:$C$600,'Jul17-Jun18 Retail'!$BC$5)*1000</f>
        <v>105631.10940327999</v>
      </c>
      <c r="BD51" s="35">
        <f>SUMIFS('Fin Forecast'!$Q$3:$Q$600,'Fin Forecast'!$B$3:$B$600,'Jul17-Jun18 Retail'!$E51,'Fin Forecast'!$C$3:$C$600,'Jul17-Jun18 Retail'!$BD$5)*1000</f>
        <v>8786510.0059764702</v>
      </c>
      <c r="BE51" s="35"/>
      <c r="BF51" s="35"/>
      <c r="BG51" s="35">
        <f>SUMIFS('Fin Forecast'!$Q$3:$Q$600,'Fin Forecast'!$B$3:$B$600,'Jul17-Jun18 Retail'!$E51,'Fin Forecast'!$C$3:$C$600,'Jul17-Jun18 Retail'!$BG$5)*1000</f>
        <v>1150740</v>
      </c>
      <c r="BH51" s="35">
        <f>SUMIFS('Fin Forecast'!$Q$3:$Q$600,'Fin Forecast'!$B$3:$B$600,'Jul17-Jun18 Retail'!$E51,'Fin Forecast'!$C$3:$C$600,'Jul17-Jun18 Retail'!$BH$5)*1000</f>
        <v>4387868.7737689121</v>
      </c>
      <c r="BI51" s="35">
        <f>SUMIFS('Fin Forecast'!$Q$3:$Q$600,'Fin Forecast'!$B$3:$B$600,'Jul17-Jun18 Retail'!$E51,'Fin Forecast'!$C$3:$C$600,'Jul17-Jun18 Retail'!$BI$5)*1000</f>
        <v>0</v>
      </c>
      <c r="BJ51" s="35">
        <f>SUMIFS('Fin Forecast'!$Q$3:$Q$600,'Fin Forecast'!$B$3:$B$600,'Jul17-Jun18 Retail'!$E51,'Fin Forecast'!$C$3:$C$600,'Jul17-Jun18 Retail'!$BJ$5)*1000</f>
        <v>889056.54564784397</v>
      </c>
      <c r="BL51" s="44">
        <f t="shared" ca="1" si="191"/>
        <v>5.2034910768270493E-3</v>
      </c>
      <c r="BN51" s="49">
        <f t="shared" ca="1" si="192"/>
        <v>0</v>
      </c>
      <c r="BO51" s="49">
        <f t="shared" ca="1" si="193"/>
        <v>9.1625656932592392E-4</v>
      </c>
      <c r="BP51" s="49">
        <f t="shared" si="194"/>
        <v>0</v>
      </c>
    </row>
    <row r="52" spans="1:68" ht="15" x14ac:dyDescent="0.25">
      <c r="A52" s="304"/>
      <c r="B52" s="304"/>
      <c r="C52" s="6">
        <f t="shared" ref="C52:C54" si="200">C51+1</f>
        <v>40</v>
      </c>
      <c r="D52" s="361">
        <f>$D$49</f>
        <v>43101</v>
      </c>
      <c r="E52" s="361" t="str">
        <f>+'Retail Rates'!$B$20</f>
        <v>LGCMG875</v>
      </c>
      <c r="F52" s="6" t="str">
        <f t="shared" si="195"/>
        <v>875</v>
      </c>
      <c r="G52" s="6" t="str">
        <f>VLOOKUP(E52,'Retail Rates'!$B$7:$D$34,3,FALSE)</f>
        <v>DGGS-C</v>
      </c>
      <c r="H52" s="25">
        <v>1</v>
      </c>
      <c r="I52" s="25"/>
      <c r="J52" s="25"/>
      <c r="K52" s="25">
        <v>6</v>
      </c>
      <c r="L52" s="25"/>
      <c r="M52" s="25">
        <v>483</v>
      </c>
      <c r="N52" s="26">
        <f>VLOOKUP($E52,'Retail Rates'!$B$7:$L$34,5,FALSE)</f>
        <v>40</v>
      </c>
      <c r="O52" s="26">
        <f>VLOOKUP($E52,'Retail Rates'!$B$7:$L$34,6,FALSE)</f>
        <v>180</v>
      </c>
      <c r="P52" s="27">
        <f>VLOOKUP($E52,'Retail Rates'!$B$7:$L$34,7,FALSE)</f>
        <v>3.329E-2</v>
      </c>
      <c r="Q52" s="27">
        <f>VLOOKUP($E52,'Retail Rates'!$B$7:$L$34,8,FALSE)</f>
        <v>0</v>
      </c>
      <c r="R52" s="27"/>
      <c r="S52" s="26">
        <f>VLOOKUP($E52,'Retail Rates'!$B$7:$L$34,9,FALSE)</f>
        <v>0</v>
      </c>
      <c r="T52" s="27">
        <f>VLOOKUP($E52,'Retail Rates'!$B$7:$L$34,10,FALSE)</f>
        <v>0</v>
      </c>
      <c r="U52" s="403">
        <f>VLOOKUP($E52,'Retail Rates'!$B$7:$L$34,11,FALSE)</f>
        <v>1.1263000000000001</v>
      </c>
      <c r="V52" s="309"/>
      <c r="W52" s="28">
        <f t="shared" si="176"/>
        <v>40</v>
      </c>
      <c r="X52" s="28"/>
      <c r="Y52" s="28"/>
      <c r="Z52" s="28">
        <f t="shared" si="177"/>
        <v>0.19974</v>
      </c>
      <c r="AA52" s="28">
        <f t="shared" si="178"/>
        <v>0</v>
      </c>
      <c r="AB52" s="28">
        <f t="shared" si="179"/>
        <v>0</v>
      </c>
      <c r="AC52" s="28"/>
      <c r="AD52" s="28"/>
      <c r="AE52" s="28">
        <f t="shared" si="196"/>
        <v>544.00290000000007</v>
      </c>
      <c r="AF52" s="28">
        <f t="shared" si="180"/>
        <v>0</v>
      </c>
      <c r="AG52" s="48">
        <f ca="1">SUMIFS(Adjustments!H$5:H$557,Adjustments!$B$5:$B$557,'Jul17-Jun18 Retail'!$D52,Adjustments!$C$5:$C$557,'Jul17-Jun18 Retail'!$E52)</f>
        <v>0</v>
      </c>
      <c r="AH52" s="48">
        <f ca="1">SUMIFS(Adjustments!I$5:I$557,Adjustments!$B$5:$B$557,'Jul17-Jun18 Retail'!$D52,Adjustments!$C$5:$C$557,'Jul17-Jun18 Retail'!$E52)</f>
        <v>0</v>
      </c>
      <c r="AI52" s="40">
        <f ca="1">SUMIFS(Adjustments!J$5:J$557,Adjustments!$B$5:$B$557,'Jul17-Jun18 Retail'!$D52,Adjustments!$C$5:$C$557,'Jul17-Jun18 Retail'!$E52)</f>
        <v>0</v>
      </c>
      <c r="AJ52" s="40">
        <f ca="1">SUMIFS(Adjustments!K$5:K$557,Adjustments!$B$5:$B$557,'Jul17-Jun18 Retail'!$D52,Adjustments!$C$5:$C$557,'Jul17-Jun18 Retail'!$E52)</f>
        <v>0</v>
      </c>
      <c r="AK52" s="40">
        <f ca="1">SUMIFS(Adjustments!L$5:L$557,Adjustments!$B$5:$B$557,'Jul17-Jun18 Retail'!$D52,Adjustments!$C$5:$C$557,'Jul17-Jun18 Retail'!$E52)</f>
        <v>0</v>
      </c>
      <c r="AL52" s="40">
        <f ca="1">SUMIFS(Adjustments!M$5:M$557,Adjustments!$B$5:$B$557,'Jul17-Jun18 Retail'!$D52,Adjustments!$C$5:$C$557,'Jul17-Jun18 Retail'!$E52)</f>
        <v>0</v>
      </c>
      <c r="AM52" s="40">
        <f ca="1">SUMIFS(Adjustments!N$5:N$557,Adjustments!$B$5:$B$557,'Jul17-Jun18 Retail'!$D52,Adjustments!$C$5:$C$557,'Jul17-Jun18 Retail'!$E52)</f>
        <v>0</v>
      </c>
      <c r="AN52" s="40">
        <f ca="1">SUMIFS(Adjustments!O$5:O$557,Adjustments!$B$5:$B$557,'Jul17-Jun18 Retail'!$D52,Adjustments!$C$5:$C$557,'Jul17-Jun18 Retail'!$E52)</f>
        <v>0</v>
      </c>
      <c r="AO52" s="40">
        <f ca="1">SUMIFS(Adjustments!P$5:P$557,Adjustments!$B$5:$B$557,'Jul17-Jun18 Retail'!$D52,Adjustments!$C$5:$C$557,'Jul17-Jun18 Retail'!$E52)</f>
        <v>0</v>
      </c>
      <c r="AP52" s="28">
        <f t="shared" ca="1" si="181"/>
        <v>40</v>
      </c>
      <c r="AQ52" s="28">
        <f t="shared" ca="1" si="182"/>
        <v>0</v>
      </c>
      <c r="AR52" s="28">
        <f t="shared" ca="1" si="183"/>
        <v>0.19974</v>
      </c>
      <c r="AS52" s="28">
        <f t="shared" ca="1" si="184"/>
        <v>0</v>
      </c>
      <c r="AT52" s="35">
        <f t="shared" si="185"/>
        <v>2.5836476099474397</v>
      </c>
      <c r="AU52" s="35">
        <f t="shared" si="186"/>
        <v>3.1060519268770997E-2</v>
      </c>
      <c r="AV52" s="35"/>
      <c r="AW52" s="35">
        <f t="shared" si="187"/>
        <v>0</v>
      </c>
      <c r="AX52" s="28">
        <f t="shared" ca="1" si="188"/>
        <v>544.00290000000007</v>
      </c>
      <c r="AY52" s="28"/>
      <c r="AZ52" s="35">
        <f t="shared" ca="1" si="198"/>
        <v>586.82000000000005</v>
      </c>
      <c r="BA52" s="35">
        <f t="shared" si="199"/>
        <v>586.81734812921616</v>
      </c>
      <c r="BB52" s="36">
        <f t="shared" ca="1" si="190"/>
        <v>0.99999499999999997</v>
      </c>
      <c r="BC52" s="35">
        <f>SUMIFS('Fin Forecast'!$Q$3:$Q$600,'Fin Forecast'!$B$3:$B$600,'Jul17-Jun18 Retail'!$E52,'Fin Forecast'!$C$3:$C$600,'Jul17-Jun18 Retail'!$BC$5)*1000</f>
        <v>3.1060519268770997E-2</v>
      </c>
      <c r="BD52" s="35">
        <f>SUMIFS('Fin Forecast'!$Q$3:$Q$600,'Fin Forecast'!$B$3:$B$600,'Jul17-Jun18 Retail'!$E52,'Fin Forecast'!$C$3:$C$600,'Jul17-Jun18 Retail'!$BD$5)*1000</f>
        <v>2.5836476099474397</v>
      </c>
      <c r="BE52" s="35"/>
      <c r="BF52" s="35"/>
      <c r="BG52" s="35">
        <f>SUMIFS('Fin Forecast'!$Q$3:$Q$600,'Fin Forecast'!$B$3:$B$600,'Jul17-Jun18 Retail'!$E52,'Fin Forecast'!$C$3:$C$600,'Jul17-Jun18 Retail'!$BG$5)*1000</f>
        <v>40</v>
      </c>
      <c r="BH52" s="35">
        <f>SUMIFS('Fin Forecast'!$Q$3:$Q$600,'Fin Forecast'!$B$3:$B$600,'Jul17-Jun18 Retail'!$E52,'Fin Forecast'!$C$3:$C$600,'Jul17-Jun18 Retail'!$BH$5)*1000</f>
        <v>0.199739999999999</v>
      </c>
      <c r="BI52" s="35">
        <f>SUMIFS('Fin Forecast'!$Q$3:$Q$600,'Fin Forecast'!$B$3:$B$600,'Jul17-Jun18 Retail'!$E52,'Fin Forecast'!$C$3:$C$600,'Jul17-Jun18 Retail'!$BI$5)*1000</f>
        <v>544.00289999999995</v>
      </c>
      <c r="BJ52" s="35">
        <f>SUMIFS('Fin Forecast'!$Q$3:$Q$600,'Fin Forecast'!$B$3:$B$600,'Jul17-Jun18 Retail'!$E52,'Fin Forecast'!$C$3:$C$600,'Jul17-Jun18 Retail'!$BJ$5)*1000</f>
        <v>0</v>
      </c>
      <c r="BL52" s="44">
        <f t="shared" ca="1" si="191"/>
        <v>2.6518707838931732E-3</v>
      </c>
      <c r="BN52" s="49">
        <f t="shared" ca="1" si="192"/>
        <v>0</v>
      </c>
      <c r="BO52" s="49">
        <f t="shared" ca="1" si="193"/>
        <v>9.9920072216264089E-16</v>
      </c>
      <c r="BP52" s="49">
        <f t="shared" si="194"/>
        <v>0</v>
      </c>
    </row>
    <row r="53" spans="1:68" ht="15" x14ac:dyDescent="0.25">
      <c r="A53" s="418" t="s">
        <v>637</v>
      </c>
      <c r="C53" s="6">
        <f t="shared" si="200"/>
        <v>41</v>
      </c>
      <c r="D53" s="361">
        <f>$D$49</f>
        <v>43101</v>
      </c>
      <c r="E53" s="361" t="str">
        <f>+'Retail Rates'!$B$26</f>
        <v>LGING855</v>
      </c>
      <c r="F53" s="6" t="str">
        <f t="shared" si="195"/>
        <v>855</v>
      </c>
      <c r="G53" s="6" t="s">
        <v>111</v>
      </c>
      <c r="H53" s="25"/>
      <c r="I53" s="25">
        <f>SUMIFS('Forcasted Customer Cts'!$V$5:$V$36,'Forcasted Customer Cts'!$D$5:$D$36,'Jul17-Jun18 Retail'!$E53,'Forcasted Customer Cts'!$C$5:$C$36,'Jul17-Jun18 Retail'!$A$9)</f>
        <v>147</v>
      </c>
      <c r="J53" s="25">
        <f>SUMIFS('Forcasted Customer Cts'!$V$5:$V$36,'Forcasted Customer Cts'!$D$5:$D$36,'Jul17-Jun18 Retail'!$E53,'Forcasted Customer Cts'!$C$5:$C$36,'Jul17-Jun18 Retail'!$B$9)</f>
        <v>115</v>
      </c>
      <c r="K53" s="25">
        <f>SUMIF('Forecasted Calendar Month Usage'!$D$5:$D$41,'Jul17-Jun18 Retail'!$E53,'Forecasted Calendar Month Usage'!$AD$5:$AD$41)*10</f>
        <v>1918387.99321619</v>
      </c>
      <c r="L53" s="25"/>
      <c r="M53" s="25"/>
      <c r="N53" s="26">
        <f>VLOOKUP($E53,'Retail Rates'!$B$7:$L$34,5,FALSE)</f>
        <v>40</v>
      </c>
      <c r="O53" s="26">
        <f>VLOOKUP($E53,'Retail Rates'!$B$7:$L$34,6,FALSE)</f>
        <v>180</v>
      </c>
      <c r="P53" s="27">
        <f>VLOOKUP($E53,'Retail Rates'!$B$7:$L$34,7,FALSE)</f>
        <v>0.22778999999999999</v>
      </c>
      <c r="Q53" s="27">
        <f>VLOOKUP($E53,'Retail Rates'!$B$7:$L$34,8,FALSE)</f>
        <v>0.17779</v>
      </c>
      <c r="R53" s="27"/>
      <c r="S53" s="26">
        <f>VLOOKUP($E53,'Retail Rates'!$B$7:$L$34,9,FALSE)</f>
        <v>0</v>
      </c>
      <c r="T53" s="27">
        <f>VLOOKUP($E53,'Retail Rates'!$B$7:$L$34,10,FALSE)</f>
        <v>0</v>
      </c>
      <c r="U53" s="26">
        <f>VLOOKUP($E53,'Retail Rates'!$B$7:$L$34,11,FALSE)</f>
        <v>0</v>
      </c>
      <c r="V53" s="309"/>
      <c r="W53" s="28">
        <f t="shared" si="176"/>
        <v>5880</v>
      </c>
      <c r="X53" s="28"/>
      <c r="Y53" s="28">
        <f t="shared" ref="Y53" si="201">+J53*O53</f>
        <v>20700</v>
      </c>
      <c r="Z53" s="28">
        <f t="shared" si="177"/>
        <v>436989.6009747159</v>
      </c>
      <c r="AA53" s="28">
        <f t="shared" si="178"/>
        <v>0</v>
      </c>
      <c r="AB53" s="28">
        <f t="shared" si="179"/>
        <v>0</v>
      </c>
      <c r="AC53" s="28"/>
      <c r="AD53" s="28"/>
      <c r="AE53" s="28">
        <f t="shared" si="196"/>
        <v>0</v>
      </c>
      <c r="AF53" s="28">
        <f>(+I53*V53)+(J53*V53)</f>
        <v>0</v>
      </c>
      <c r="AG53" s="48">
        <f ca="1">SUMIFS(Adjustments!H$5:H$557,Adjustments!$B$5:$B$557,'Jul17-Jun18 Retail'!$D53,Adjustments!$C$5:$C$557,'Jul17-Jun18 Retail'!$E53)</f>
        <v>0</v>
      </c>
      <c r="AH53" s="48">
        <f ca="1">SUMIFS(Adjustments!I$5:I$557,Adjustments!$B$5:$B$557,'Jul17-Jun18 Retail'!$D53,Adjustments!$C$5:$C$557,'Jul17-Jun18 Retail'!$E53)</f>
        <v>0</v>
      </c>
      <c r="AI53" s="40">
        <f ca="1">SUMIFS(Adjustments!J$5:J$557,Adjustments!$B$5:$B$557,'Jul17-Jun18 Retail'!$D53,Adjustments!$C$5:$C$557,'Jul17-Jun18 Retail'!$E53)</f>
        <v>0</v>
      </c>
      <c r="AJ53" s="40">
        <f ca="1">SUMIFS(Adjustments!K$5:K$557,Adjustments!$B$5:$B$557,'Jul17-Jun18 Retail'!$D53,Adjustments!$C$5:$C$557,'Jul17-Jun18 Retail'!$E53)</f>
        <v>0</v>
      </c>
      <c r="AK53" s="40">
        <f ca="1">SUMIFS(Adjustments!L$5:L$557,Adjustments!$B$5:$B$557,'Jul17-Jun18 Retail'!$D53,Adjustments!$C$5:$C$557,'Jul17-Jun18 Retail'!$E53)</f>
        <v>0</v>
      </c>
      <c r="AL53" s="40">
        <f ca="1">SUMIFS(Adjustments!M$5:M$557,Adjustments!$B$5:$B$557,'Jul17-Jun18 Retail'!$D53,Adjustments!$C$5:$C$557,'Jul17-Jun18 Retail'!$E53)</f>
        <v>0</v>
      </c>
      <c r="AM53" s="40">
        <f ca="1">SUMIFS(Adjustments!N$5:N$557,Adjustments!$B$5:$B$557,'Jul17-Jun18 Retail'!$D53,Adjustments!$C$5:$C$557,'Jul17-Jun18 Retail'!$E53)</f>
        <v>0</v>
      </c>
      <c r="AN53" s="40">
        <f ca="1">SUMIFS(Adjustments!O$5:O$557,Adjustments!$B$5:$B$557,'Jul17-Jun18 Retail'!$D53,Adjustments!$C$5:$C$557,'Jul17-Jun18 Retail'!$E53)</f>
        <v>0</v>
      </c>
      <c r="AO53" s="40">
        <f ca="1">SUMIFS(Adjustments!P$5:P$557,Adjustments!$B$5:$B$557,'Jul17-Jun18 Retail'!$D53,Adjustments!$C$5:$C$557,'Jul17-Jun18 Retail'!$E53)</f>
        <v>0</v>
      </c>
      <c r="AP53" s="28">
        <f t="shared" ca="1" si="181"/>
        <v>5880</v>
      </c>
      <c r="AQ53" s="28">
        <f t="shared" ca="1" si="182"/>
        <v>20700</v>
      </c>
      <c r="AR53" s="28">
        <f t="shared" ca="1" si="183"/>
        <v>436989.6009747159</v>
      </c>
      <c r="AS53" s="28">
        <f t="shared" ca="1" si="184"/>
        <v>0</v>
      </c>
      <c r="AT53" s="35">
        <f t="shared" si="185"/>
        <v>826073.09250067675</v>
      </c>
      <c r="AU53" s="35">
        <f t="shared" si="186"/>
        <v>0</v>
      </c>
      <c r="AV53" s="35"/>
      <c r="AW53" s="35">
        <f t="shared" si="187"/>
        <v>86366.404831386666</v>
      </c>
      <c r="AX53" s="28">
        <f t="shared" ca="1" si="188"/>
        <v>0</v>
      </c>
      <c r="AY53" s="28"/>
      <c r="AZ53" s="35">
        <f t="shared" ca="1" si="198"/>
        <v>1376009.1</v>
      </c>
      <c r="BA53" s="35">
        <f t="shared" si="199"/>
        <v>1376009.0984283753</v>
      </c>
      <c r="BB53" s="36">
        <f t="shared" ca="1" si="190"/>
        <v>1</v>
      </c>
      <c r="BC53" s="35">
        <f>SUMIFS('Fin Forecast'!$Q$3:$Q$600,'Fin Forecast'!$B$3:$B$600,'Jul17-Jun18 Retail'!$E53,'Fin Forecast'!$C$3:$C$600,'Jul17-Jun18 Retail'!$BC$5)*1000</f>
        <v>0</v>
      </c>
      <c r="BD53" s="35">
        <f>SUMIFS('Fin Forecast'!$Q$3:$Q$600,'Fin Forecast'!$B$3:$B$600,'Jul17-Jun18 Retail'!$E53,'Fin Forecast'!$C$3:$C$600,'Jul17-Jun18 Retail'!$BD$5)*1000</f>
        <v>826073.09250067675</v>
      </c>
      <c r="BE53" s="35"/>
      <c r="BF53" s="35"/>
      <c r="BG53" s="35">
        <f>SUMIFS('Fin Forecast'!$Q$3:$Q$600,'Fin Forecast'!$B$3:$B$600,'Jul17-Jun18 Retail'!$E53,'Fin Forecast'!$C$3:$C$600,'Jul17-Jun18 Retail'!$BG$5)*1000</f>
        <v>26580.000000000004</v>
      </c>
      <c r="BH53" s="35">
        <f>SUMIFS('Fin Forecast'!$Q$3:$Q$600,'Fin Forecast'!$B$3:$B$600,'Jul17-Jun18 Retail'!$E53,'Fin Forecast'!$C$3:$C$600,'Jul17-Jun18 Retail'!$BH$5)*1000</f>
        <v>436989.60109631193</v>
      </c>
      <c r="BI53" s="35">
        <f>SUMIFS('Fin Forecast'!$Q$3:$Q$600,'Fin Forecast'!$B$3:$B$600,'Jul17-Jun18 Retail'!$E53,'Fin Forecast'!$C$3:$C$600,'Jul17-Jun18 Retail'!$BI$5)*1000</f>
        <v>0</v>
      </c>
      <c r="BJ53" s="35">
        <f>SUMIFS('Fin Forecast'!$Q$3:$Q$600,'Fin Forecast'!$B$3:$B$600,'Jul17-Jun18 Retail'!$E53,'Fin Forecast'!$C$3:$C$600,'Jul17-Jun18 Retail'!$BJ$5)*1000</f>
        <v>86366.404831386666</v>
      </c>
      <c r="BL53" s="44">
        <f t="shared" ca="1" si="191"/>
        <v>1.5716247726231813E-3</v>
      </c>
      <c r="BN53" s="49">
        <f t="shared" ca="1" si="192"/>
        <v>0</v>
      </c>
      <c r="BO53" s="49">
        <f t="shared" ca="1" si="193"/>
        <v>-1.2159603647887707E-4</v>
      </c>
      <c r="BP53" s="49">
        <f t="shared" si="194"/>
        <v>0</v>
      </c>
    </row>
    <row r="54" spans="1:68" ht="15" x14ac:dyDescent="0.25">
      <c r="C54" s="6">
        <f t="shared" si="200"/>
        <v>42</v>
      </c>
      <c r="D54" s="361">
        <f>$D$49</f>
        <v>43101</v>
      </c>
      <c r="E54" s="361" t="str">
        <f>+'Retail Rates'!$B$31</f>
        <v>LGRSG811</v>
      </c>
      <c r="F54" s="6" t="str">
        <f t="shared" si="195"/>
        <v>811</v>
      </c>
      <c r="G54" s="6" t="str">
        <f>VLOOKUP(E54,'Retail Rates'!$B$7:$D$34,3,FALSE)</f>
        <v>RGS</v>
      </c>
      <c r="H54" s="25">
        <f>SUMIF('Forcasted Customer Cts'!$D$5:$D$36,'Jul17-Jun18 Retail'!$E54,'Forcasted Customer Cts'!$V$5:$V$36)</f>
        <v>297218</v>
      </c>
      <c r="I54" s="25"/>
      <c r="J54" s="25"/>
      <c r="K54" s="25">
        <f>SUMIF('Forecasted Calendar Month Usage'!$D$5:$D$41,'Jul17-Jun18 Retail'!$E54,'Forecasted Calendar Month Usage'!$AD$5:$AD$41)*10</f>
        <v>42721291.869554676</v>
      </c>
      <c r="L54" s="25"/>
      <c r="M54" s="25"/>
      <c r="N54" s="26">
        <f>VLOOKUP($E54,'Retail Rates'!$B$7:$L$34,5,FALSE)</f>
        <v>13.5</v>
      </c>
      <c r="O54" s="26">
        <f>VLOOKUP($E54,'Retail Rates'!$B$7:$L$34,6,FALSE)</f>
        <v>0</v>
      </c>
      <c r="P54" s="27">
        <f>VLOOKUP($E54,'Retail Rates'!$B$7:$L$34,7,FALSE)</f>
        <v>0.28693000000000002</v>
      </c>
      <c r="Q54" s="27">
        <f>VLOOKUP($E54,'Retail Rates'!$B$7:$L$34,8,FALSE)</f>
        <v>0</v>
      </c>
      <c r="R54" s="27"/>
      <c r="S54" s="26">
        <f>VLOOKUP($E54,'Retail Rates'!$B$7:$L$34,9,FALSE)</f>
        <v>0</v>
      </c>
      <c r="T54" s="27">
        <f>VLOOKUP($E54,'Retail Rates'!$B$7:$L$34,10,FALSE)</f>
        <v>0</v>
      </c>
      <c r="U54" s="26">
        <f>VLOOKUP($E54,'Retail Rates'!$B$7:$L$34,11,FALSE)</f>
        <v>0</v>
      </c>
      <c r="V54" s="309"/>
      <c r="W54" s="28">
        <f t="shared" si="176"/>
        <v>4012443</v>
      </c>
      <c r="X54" s="28"/>
      <c r="Y54" s="28"/>
      <c r="Z54" s="28">
        <f t="shared" si="177"/>
        <v>12258020.276131324</v>
      </c>
      <c r="AA54" s="28">
        <f t="shared" si="178"/>
        <v>0</v>
      </c>
      <c r="AB54" s="28">
        <f t="shared" si="179"/>
        <v>0</v>
      </c>
      <c r="AC54" s="28"/>
      <c r="AD54" s="28"/>
      <c r="AE54" s="28">
        <f t="shared" si="196"/>
        <v>0</v>
      </c>
      <c r="AF54" s="28">
        <f t="shared" ref="AF54" si="202">(+H54*V54)+(I54*V54)</f>
        <v>0</v>
      </c>
      <c r="AG54" s="48">
        <f ca="1">SUMIFS(Adjustments!H$5:H$557,Adjustments!$B$5:$B$557,'Jul17-Jun18 Retail'!$D54,Adjustments!$C$5:$C$557,'Jul17-Jun18 Retail'!$E54)</f>
        <v>0</v>
      </c>
      <c r="AH54" s="48">
        <f ca="1">SUMIFS(Adjustments!I$5:I$557,Adjustments!$B$5:$B$557,'Jul17-Jun18 Retail'!$D54,Adjustments!$C$5:$C$557,'Jul17-Jun18 Retail'!$E54)</f>
        <v>0</v>
      </c>
      <c r="AI54" s="40">
        <f ca="1">SUMIFS(Adjustments!J$5:J$557,Adjustments!$B$5:$B$557,'Jul17-Jun18 Retail'!$D54,Adjustments!$C$5:$C$557,'Jul17-Jun18 Retail'!$E54)</f>
        <v>0</v>
      </c>
      <c r="AJ54" s="40">
        <f ca="1">SUMIFS(Adjustments!K$5:K$557,Adjustments!$B$5:$B$557,'Jul17-Jun18 Retail'!$D54,Adjustments!$C$5:$C$557,'Jul17-Jun18 Retail'!$E54)</f>
        <v>0</v>
      </c>
      <c r="AK54" s="40">
        <f ca="1">SUMIFS(Adjustments!L$5:L$557,Adjustments!$B$5:$B$557,'Jul17-Jun18 Retail'!$D54,Adjustments!$C$5:$C$557,'Jul17-Jun18 Retail'!$E54)</f>
        <v>0</v>
      </c>
      <c r="AL54" s="40">
        <f ca="1">SUMIFS(Adjustments!M$5:M$557,Adjustments!$B$5:$B$557,'Jul17-Jun18 Retail'!$D54,Adjustments!$C$5:$C$557,'Jul17-Jun18 Retail'!$E54)</f>
        <v>0</v>
      </c>
      <c r="AM54" s="40">
        <f ca="1">SUMIFS(Adjustments!N$5:N$557,Adjustments!$B$5:$B$557,'Jul17-Jun18 Retail'!$D54,Adjustments!$C$5:$C$557,'Jul17-Jun18 Retail'!$E54)</f>
        <v>0</v>
      </c>
      <c r="AN54" s="40">
        <f ca="1">SUMIFS(Adjustments!O$5:O$557,Adjustments!$B$5:$B$557,'Jul17-Jun18 Retail'!$D54,Adjustments!$C$5:$C$557,'Jul17-Jun18 Retail'!$E54)</f>
        <v>0</v>
      </c>
      <c r="AO54" s="40">
        <f ca="1">SUMIFS(Adjustments!P$5:P$557,Adjustments!$B$5:$B$557,'Jul17-Jun18 Retail'!$D54,Adjustments!$C$5:$C$557,'Jul17-Jun18 Retail'!$E54)</f>
        <v>0</v>
      </c>
      <c r="AP54" s="28">
        <f t="shared" ref="AP54" ca="1" si="203">+W54+AI54+(AG54*N54)</f>
        <v>4012443</v>
      </c>
      <c r="AQ54" s="28">
        <f t="shared" ca="1" si="182"/>
        <v>0</v>
      </c>
      <c r="AR54" s="28">
        <f t="shared" ca="1" si="183"/>
        <v>12258020.276131324</v>
      </c>
      <c r="AS54" s="28">
        <f t="shared" ca="1" si="184"/>
        <v>0</v>
      </c>
      <c r="AT54" s="35">
        <f t="shared" si="185"/>
        <v>18396127.270456601</v>
      </c>
      <c r="AU54" s="35">
        <f t="shared" si="186"/>
        <v>221157.58486367401</v>
      </c>
      <c r="AV54" s="35"/>
      <c r="AW54" s="35">
        <f t="shared" si="187"/>
        <v>2072645.1650713999</v>
      </c>
      <c r="AX54" s="28">
        <f t="shared" ca="1" si="188"/>
        <v>0</v>
      </c>
      <c r="AY54" s="28"/>
      <c r="AZ54" s="35">
        <f t="shared" ref="AZ54" ca="1" si="204">ROUND(SUM(AP54:AY54),2)</f>
        <v>36960393.299999997</v>
      </c>
      <c r="BA54" s="35">
        <f t="shared" ref="BA54" si="205">SUM(BC54:BJ54)-BF54</f>
        <v>36960393.295423269</v>
      </c>
      <c r="BB54" s="36">
        <f t="shared" ca="1" si="190"/>
        <v>1</v>
      </c>
      <c r="BC54" s="35">
        <f>SUMIFS('Fin Forecast'!$Q$3:$Q$600,'Fin Forecast'!$B$3:$B$600,'Jul17-Jun18 Retail'!$E54,'Fin Forecast'!$C$3:$C$600,'Jul17-Jun18 Retail'!$BC$5)*1000</f>
        <v>221157.58486367401</v>
      </c>
      <c r="BD54" s="35">
        <f>SUMIFS('Fin Forecast'!$Q$3:$Q$600,'Fin Forecast'!$B$3:$B$600,'Jul17-Jun18 Retail'!$E54,'Fin Forecast'!$C$3:$C$600,'Jul17-Jun18 Retail'!$BD$5)*1000</f>
        <v>18396127.270456601</v>
      </c>
      <c r="BE54" s="35"/>
      <c r="BF54" s="35"/>
      <c r="BG54" s="35">
        <f>SUMIFS('Fin Forecast'!$Q$3:$Q$600,'Fin Forecast'!$B$3:$B$600,'Jul17-Jun18 Retail'!$E54,'Fin Forecast'!$C$3:$C$600,'Jul17-Jun18 Retail'!$BG$5)*1000</f>
        <v>4012443</v>
      </c>
      <c r="BH54" s="35">
        <f>SUMIFS('Fin Forecast'!$Q$3:$Q$600,'Fin Forecast'!$B$3:$B$600,'Jul17-Jun18 Retail'!$E54,'Fin Forecast'!$C$3:$C$600,'Jul17-Jun18 Retail'!$BH$5)*1000</f>
        <v>12258020.2750316</v>
      </c>
      <c r="BI54" s="35">
        <f>SUMIFS('Fin Forecast'!$Q$3:$Q$600,'Fin Forecast'!$B$3:$B$600,'Jul17-Jun18 Retail'!$E54,'Fin Forecast'!$C$3:$C$600,'Jul17-Jun18 Retail'!$BI$5)*1000</f>
        <v>0</v>
      </c>
      <c r="BJ54" s="35">
        <f>SUMIFS('Fin Forecast'!$Q$3:$Q$600,'Fin Forecast'!$B$3:$B$600,'Jul17-Jun18 Retail'!$E54,'Fin Forecast'!$C$3:$C$600,'Jul17-Jun18 Retail'!$BJ$5)*1000</f>
        <v>2072645.1650713999</v>
      </c>
      <c r="BL54" s="44">
        <f t="shared" ca="1" si="191"/>
        <v>4.5767277479171753E-3</v>
      </c>
      <c r="BN54" s="49">
        <f t="shared" ca="1" si="192"/>
        <v>0</v>
      </c>
      <c r="BO54" s="49">
        <f t="shared" ca="1" si="193"/>
        <v>1.0997243225574493E-3</v>
      </c>
      <c r="BP54" s="49">
        <f t="shared" si="194"/>
        <v>0</v>
      </c>
    </row>
    <row r="55" spans="1:68" s="323" customFormat="1" ht="15" x14ac:dyDescent="0.25">
      <c r="C55" s="324"/>
      <c r="D55" s="362"/>
      <c r="E55" s="362"/>
      <c r="F55" s="324"/>
      <c r="G55" s="324"/>
      <c r="H55" s="325"/>
      <c r="I55" s="325"/>
      <c r="J55" s="325"/>
      <c r="K55" s="332"/>
      <c r="L55" s="332"/>
      <c r="N55" s="326"/>
      <c r="O55" s="326"/>
      <c r="P55" s="327"/>
      <c r="Q55" s="327"/>
      <c r="R55" s="327"/>
      <c r="S55" s="326"/>
      <c r="T55" s="327"/>
      <c r="U55" s="327"/>
      <c r="V55" s="328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30"/>
      <c r="AH55" s="330"/>
      <c r="AI55" s="329"/>
      <c r="AJ55" s="329"/>
      <c r="AK55" s="329"/>
      <c r="AL55" s="329"/>
      <c r="AM55" s="329"/>
      <c r="AN55" s="329"/>
      <c r="AO55" s="329"/>
      <c r="AP55" s="341"/>
      <c r="AQ55" s="341"/>
      <c r="AR55" s="341"/>
      <c r="AS55" s="341"/>
      <c r="AT55" s="329"/>
      <c r="AU55" s="329"/>
      <c r="AV55" s="329"/>
      <c r="AW55" s="329"/>
      <c r="AX55" s="329"/>
      <c r="AY55" s="329"/>
      <c r="AZ55" s="329"/>
      <c r="BA55" s="329"/>
      <c r="BB55" s="331"/>
      <c r="BC55" s="341"/>
      <c r="BD55" s="341"/>
      <c r="BE55" s="341"/>
      <c r="BF55" s="341"/>
      <c r="BG55" s="341"/>
      <c r="BH55" s="341"/>
      <c r="BI55" s="341"/>
      <c r="BJ55" s="341"/>
      <c r="BL55" s="329"/>
      <c r="BN55" s="329"/>
      <c r="BO55" s="329"/>
      <c r="BP55" s="329"/>
    </row>
    <row r="56" spans="1:68" ht="15" x14ac:dyDescent="0.25">
      <c r="C56" s="6">
        <f>C54+1</f>
        <v>43</v>
      </c>
      <c r="D56" s="361">
        <f>EDATE(D49,1)</f>
        <v>43132</v>
      </c>
      <c r="E56" s="361" t="str">
        <f>+'Retail Rates'!$B$7</f>
        <v>LGCMG865</v>
      </c>
      <c r="F56" s="6" t="str">
        <f>MID(E56,6,3)</f>
        <v>865</v>
      </c>
      <c r="G56" s="6" t="str">
        <f>VLOOKUP(E56,'Retail Rates'!$B$7:$D$34,3,FALSE)</f>
        <v>AAGS-C</v>
      </c>
      <c r="H56" s="25">
        <f>SUMIF('Forcasted Customer Cts'!$D$5:$D$36,'Jul17-Jun18 Retail'!$E56,'Forcasted Customer Cts'!$W$5:$W$36)</f>
        <v>4</v>
      </c>
      <c r="I56" s="25"/>
      <c r="J56" s="25"/>
      <c r="K56" s="25">
        <f>SUMIF('Forecasted Calendar Month Usage'!$D$5:$D$41,'Jul17-Jun18 Retail'!$E56,'Forecasted Calendar Month Usage'!$AE$5:$AE$41)*10</f>
        <v>93127.215924835313</v>
      </c>
      <c r="L56" s="25"/>
      <c r="M56" s="25"/>
      <c r="N56" s="26">
        <f>VLOOKUP($E56,'Retail Rates'!$B$7:$L$34,5,FALSE)</f>
        <v>400</v>
      </c>
      <c r="O56" s="26">
        <f>VLOOKUP($E56,'Retail Rates'!$B$7:$L$34,6,FALSE)</f>
        <v>0</v>
      </c>
      <c r="P56" s="27">
        <f>VLOOKUP($E56,'Retail Rates'!$B$7:$L$34,7,FALSE)</f>
        <v>7.009E-2</v>
      </c>
      <c r="Q56" s="27">
        <f>VLOOKUP($E56,'Retail Rates'!$B$7:$L$34,8,FALSE)</f>
        <v>0</v>
      </c>
      <c r="R56" s="27"/>
      <c r="S56" s="26">
        <f>VLOOKUP($E56,'Retail Rates'!$B$7:$L$34,9,FALSE)</f>
        <v>0</v>
      </c>
      <c r="T56" s="27">
        <f>VLOOKUP($E56,'Retail Rates'!$B$7:$L$34,10,FALSE)</f>
        <v>0</v>
      </c>
      <c r="U56" s="26">
        <f>VLOOKUP($E56,'Retail Rates'!$B$7:$L$34,11,FALSE)</f>
        <v>0</v>
      </c>
      <c r="V56" s="309"/>
      <c r="W56" s="28">
        <f t="shared" ref="W56:W61" si="206">(+H56*N56)+(I56*N56)</f>
        <v>1600</v>
      </c>
      <c r="X56" s="28"/>
      <c r="Y56" s="28"/>
      <c r="Z56" s="28">
        <f t="shared" ref="Z56:Z61" si="207">+K56*P56</f>
        <v>6527.2865641717071</v>
      </c>
      <c r="AA56" s="28">
        <f t="shared" ref="AA56:AA61" si="208">+L56*Q56</f>
        <v>0</v>
      </c>
      <c r="AB56" s="28">
        <f t="shared" ref="AB56:AB61" si="209">SUM(K56:L56)*R56</f>
        <v>0</v>
      </c>
      <c r="AC56" s="28"/>
      <c r="AD56" s="28"/>
      <c r="AE56" s="28">
        <f>M56*U56</f>
        <v>0</v>
      </c>
      <c r="AF56" s="28">
        <f t="shared" ref="AF56:AF59" si="210">(+H56*V56)+(I56*V56)</f>
        <v>0</v>
      </c>
      <c r="AG56" s="48">
        <f ca="1">SUMIFS(Adjustments!H$5:H$557,Adjustments!$B$5:$B$557,'Jul17-Jun18 Retail'!$D56,Adjustments!$C$5:$C$557,'Jul17-Jun18 Retail'!$E56)</f>
        <v>0</v>
      </c>
      <c r="AH56" s="48">
        <f ca="1">SUMIFS(Adjustments!I$5:I$557,Adjustments!$B$5:$B$557,'Jul17-Jun18 Retail'!$D56,Adjustments!$C$5:$C$557,'Jul17-Jun18 Retail'!$E56)</f>
        <v>0</v>
      </c>
      <c r="AI56" s="40">
        <f ca="1">SUMIFS(Adjustments!J$5:J$557,Adjustments!$B$5:$B$557,'Jul17-Jun18 Retail'!$D56,Adjustments!$C$5:$C$557,'Jul17-Jun18 Retail'!$E56)</f>
        <v>0</v>
      </c>
      <c r="AJ56" s="40">
        <f ca="1">SUMIFS(Adjustments!K$5:K$557,Adjustments!$B$5:$B$557,'Jul17-Jun18 Retail'!$D56,Adjustments!$C$5:$C$557,'Jul17-Jun18 Retail'!$E56)</f>
        <v>0</v>
      </c>
      <c r="AK56" s="40">
        <f ca="1">SUMIFS(Adjustments!L$5:L$557,Adjustments!$B$5:$B$557,'Jul17-Jun18 Retail'!$D56,Adjustments!$C$5:$C$557,'Jul17-Jun18 Retail'!$E56)</f>
        <v>0</v>
      </c>
      <c r="AL56" s="40">
        <f ca="1">SUMIFS(Adjustments!M$5:M$557,Adjustments!$B$5:$B$557,'Jul17-Jun18 Retail'!$D56,Adjustments!$C$5:$C$557,'Jul17-Jun18 Retail'!$E56)</f>
        <v>0</v>
      </c>
      <c r="AM56" s="40">
        <f ca="1">SUMIFS(Adjustments!N$5:N$557,Adjustments!$B$5:$B$557,'Jul17-Jun18 Retail'!$D56,Adjustments!$C$5:$C$557,'Jul17-Jun18 Retail'!$E56)</f>
        <v>0</v>
      </c>
      <c r="AN56" s="40">
        <f ca="1">SUMIFS(Adjustments!O$5:O$557,Adjustments!$B$5:$B$557,'Jul17-Jun18 Retail'!$D56,Adjustments!$C$5:$C$557,'Jul17-Jun18 Retail'!$E56)</f>
        <v>0</v>
      </c>
      <c r="AO56" s="40">
        <f ca="1">SUMIFS(Adjustments!P$5:P$557,Adjustments!$B$5:$B$557,'Jul17-Jun18 Retail'!$D56,Adjustments!$C$5:$C$557,'Jul17-Jun18 Retail'!$E56)</f>
        <v>0</v>
      </c>
      <c r="AP56" s="28">
        <f t="shared" ref="AP56:AP60" ca="1" si="211">+W56+AI56+(AG56*N56)</f>
        <v>1600</v>
      </c>
      <c r="AQ56" s="28">
        <f t="shared" ref="AQ56:AQ61" ca="1" si="212">+Y56+AJ56</f>
        <v>0</v>
      </c>
      <c r="AR56" s="28">
        <f t="shared" ref="AR56:AR61" ca="1" si="213">+Z56+AK56</f>
        <v>6527.2865641717071</v>
      </c>
      <c r="AS56" s="28">
        <f t="shared" ref="AS56:AS61" ca="1" si="214">+AA56+AL56</f>
        <v>0</v>
      </c>
      <c r="AT56" s="35">
        <f t="shared" ref="AT56:AT61" si="215">BD56</f>
        <v>43422.504805823199</v>
      </c>
      <c r="AU56" s="35">
        <f t="shared" ref="AU56:AU61" si="216">BC56</f>
        <v>519.24991742627697</v>
      </c>
      <c r="AV56" s="35"/>
      <c r="AW56" s="35">
        <f t="shared" ref="AW56:AW61" si="217">BJ56</f>
        <v>18035.52741130926</v>
      </c>
      <c r="AX56" s="28">
        <f t="shared" ref="AX56:AX61" ca="1" si="218">+AE56+AO56</f>
        <v>0</v>
      </c>
      <c r="AY56" s="28"/>
      <c r="AZ56" s="35">
        <f t="shared" ref="AZ56:AZ57" ca="1" si="219">ROUND(SUM(AP56:AY56),2)</f>
        <v>70104.570000000007</v>
      </c>
      <c r="BA56" s="35">
        <f>SUM(BC56:BJ56)-BF56</f>
        <v>70104.568698391537</v>
      </c>
      <c r="BB56" s="36">
        <f t="shared" ref="BB56:BB61" ca="1" si="220">IF(BA56=0,0,ROUND(BA56/AZ56,6))</f>
        <v>1</v>
      </c>
      <c r="BC56" s="35">
        <f>SUMIFS('Fin Forecast'!$R$3:$R$600,'Fin Forecast'!$B$3:$B$600,'Jul17-Jun18 Retail'!$E56,'Fin Forecast'!$C$3:$C$600,'Jul17-Jun18 Retail'!$BC$5)*1000</f>
        <v>519.24991742627697</v>
      </c>
      <c r="BD56" s="35">
        <f>SUMIFS('Fin Forecast'!$R$3:$R$600,'Fin Forecast'!$B$3:$B$600,'Jul17-Jun18 Retail'!$E56,'Fin Forecast'!$C$3:$C$600,'Jul17-Jun18 Retail'!$BD$5)*1000</f>
        <v>43422.504805823199</v>
      </c>
      <c r="BE56" s="35"/>
      <c r="BF56" s="35"/>
      <c r="BG56" s="35">
        <f>SUMIFS('Fin Forecast'!$R$3:$R$600,'Fin Forecast'!$B$3:$B$600,'Jul17-Jun18 Retail'!$E56,'Fin Forecast'!$C$3:$C$600,'Jul17-Jun18 Retail'!$BG$5)*1000</f>
        <v>1600</v>
      </c>
      <c r="BH56" s="35">
        <f>SUMIFS('Fin Forecast'!$R$3:$R$600,'Fin Forecast'!$B$3:$B$600,'Jul17-Jun18 Retail'!$E56,'Fin Forecast'!$C$3:$C$600,'Jul17-Jun18 Retail'!$BH$5)*1000</f>
        <v>6527.2865638327994</v>
      </c>
      <c r="BI56" s="35">
        <f>SUMIFS('Fin Forecast'!$R$3:$R$600,'Fin Forecast'!$B$3:$B$600,'Jul17-Jun18 Retail'!$E56,'Fin Forecast'!$C$3:$C$600,'Jul17-Jun18 Retail'!$BI$5)*1000</f>
        <v>0</v>
      </c>
      <c r="BJ56" s="35">
        <f>SUMIFS('Fin Forecast'!$R$3:$R$600,'Fin Forecast'!$B$3:$B$600,'Jul17-Jun18 Retail'!$E56,'Fin Forecast'!$C$3:$C$600,'Jul17-Jun18 Retail'!$BJ$5)*1000</f>
        <v>18035.52741130926</v>
      </c>
      <c r="BL56" s="44">
        <f t="shared" ref="BL56:BL61" ca="1" si="221">+AZ56-BA56</f>
        <v>1.3016084703849629E-3</v>
      </c>
      <c r="BN56" s="49">
        <f t="shared" ref="BN56:BN61" ca="1" si="222">+AP56+AQ56-BG56</f>
        <v>0</v>
      </c>
      <c r="BO56" s="49">
        <f t="shared" ref="BO56:BO61" ca="1" si="223">+AR56+AS56-BH56</f>
        <v>3.3890773920575157E-7</v>
      </c>
      <c r="BP56" s="49">
        <f t="shared" ref="BP56:BP61" si="224">+AT56-BD56</f>
        <v>0</v>
      </c>
    </row>
    <row r="57" spans="1:68" ht="15" x14ac:dyDescent="0.25">
      <c r="C57" s="6">
        <f>C56+1</f>
        <v>44</v>
      </c>
      <c r="D57" s="361">
        <f>$D$56</f>
        <v>43132</v>
      </c>
      <c r="E57" s="361" t="str">
        <f>+'Retail Rates'!$B$10</f>
        <v>LGING866</v>
      </c>
      <c r="F57" s="6" t="str">
        <f t="shared" ref="F57:F61" si="225">MID(E57,6,3)</f>
        <v>866</v>
      </c>
      <c r="G57" s="6" t="str">
        <f>VLOOKUP(E57,'Retail Rates'!$B$7:$D$34,3,FALSE)</f>
        <v>AAGS-I</v>
      </c>
      <c r="H57" s="25">
        <f>SUMIF('Forcasted Customer Cts'!$D$5:$D$36,'Jul17-Jun18 Retail'!$E57,'Forcasted Customer Cts'!$W$5:$W$36)</f>
        <v>0</v>
      </c>
      <c r="I57" s="25"/>
      <c r="J57" s="25"/>
      <c r="K57" s="25">
        <f>SUMIF('Forecasted Calendar Month Usage'!$D$5:$D$41,'Jul17-Jun18 Retail'!$E57,'Forecasted Calendar Month Usage'!$AE$5:$AE$41)*10</f>
        <v>0</v>
      </c>
      <c r="L57" s="25"/>
      <c r="M57" s="25"/>
      <c r="N57" s="26">
        <f>VLOOKUP($E57,'Retail Rates'!$B$7:$L$34,5,FALSE)</f>
        <v>400</v>
      </c>
      <c r="O57" s="26">
        <f>VLOOKUP($E57,'Retail Rates'!$B$7:$L$34,6,FALSE)</f>
        <v>0</v>
      </c>
      <c r="P57" s="27">
        <f>VLOOKUP($E57,'Retail Rates'!$B$7:$L$34,7,FALSE)</f>
        <v>7.009E-2</v>
      </c>
      <c r="Q57" s="27">
        <f>VLOOKUP($E57,'Retail Rates'!$B$7:$L$34,8,FALSE)</f>
        <v>0</v>
      </c>
      <c r="R57" s="27"/>
      <c r="S57" s="26">
        <f>VLOOKUP($E57,'Retail Rates'!$B$7:$L$34,9,FALSE)</f>
        <v>0</v>
      </c>
      <c r="T57" s="27">
        <f>VLOOKUP($E57,'Retail Rates'!$B$7:$L$34,10,FALSE)</f>
        <v>0</v>
      </c>
      <c r="U57" s="26">
        <f>VLOOKUP($E57,'Retail Rates'!$B$7:$L$34,11,FALSE)</f>
        <v>0</v>
      </c>
      <c r="V57" s="309"/>
      <c r="W57" s="28">
        <f t="shared" si="206"/>
        <v>0</v>
      </c>
      <c r="X57" s="28"/>
      <c r="Y57" s="28"/>
      <c r="Z57" s="28">
        <f t="shared" si="207"/>
        <v>0</v>
      </c>
      <c r="AA57" s="28">
        <f t="shared" si="208"/>
        <v>0</v>
      </c>
      <c r="AB57" s="28">
        <f t="shared" si="209"/>
        <v>0</v>
      </c>
      <c r="AC57" s="28"/>
      <c r="AD57" s="28"/>
      <c r="AE57" s="28">
        <f t="shared" ref="AE57:AE61" si="226">M57*U57</f>
        <v>0</v>
      </c>
      <c r="AF57" s="28">
        <f t="shared" si="210"/>
        <v>0</v>
      </c>
      <c r="AG57" s="48">
        <f ca="1">SUMIFS(Adjustments!H$5:H$557,Adjustments!$B$5:$B$557,'Jul17-Jun18 Retail'!$D57,Adjustments!$C$5:$C$557,'Jul17-Jun18 Retail'!$E57)</f>
        <v>0</v>
      </c>
      <c r="AH57" s="48">
        <f ca="1">SUMIFS(Adjustments!I$5:I$557,Adjustments!$B$5:$B$557,'Jul17-Jun18 Retail'!$D57,Adjustments!$C$5:$C$557,'Jul17-Jun18 Retail'!$E57)</f>
        <v>0</v>
      </c>
      <c r="AI57" s="40">
        <f ca="1">SUMIFS(Adjustments!J$5:J$557,Adjustments!$B$5:$B$557,'Jul17-Jun18 Retail'!$D57,Adjustments!$C$5:$C$557,'Jul17-Jun18 Retail'!$E57)</f>
        <v>0</v>
      </c>
      <c r="AJ57" s="40">
        <f ca="1">SUMIFS(Adjustments!K$5:K$557,Adjustments!$B$5:$B$557,'Jul17-Jun18 Retail'!$D57,Adjustments!$C$5:$C$557,'Jul17-Jun18 Retail'!$E57)</f>
        <v>0</v>
      </c>
      <c r="AK57" s="40">
        <f ca="1">SUMIFS(Adjustments!L$5:L$557,Adjustments!$B$5:$B$557,'Jul17-Jun18 Retail'!$D57,Adjustments!$C$5:$C$557,'Jul17-Jun18 Retail'!$E57)</f>
        <v>0</v>
      </c>
      <c r="AL57" s="40">
        <f ca="1">SUMIFS(Adjustments!M$5:M$557,Adjustments!$B$5:$B$557,'Jul17-Jun18 Retail'!$D57,Adjustments!$C$5:$C$557,'Jul17-Jun18 Retail'!$E57)</f>
        <v>0</v>
      </c>
      <c r="AM57" s="40">
        <f ca="1">SUMIFS(Adjustments!N$5:N$557,Adjustments!$B$5:$B$557,'Jul17-Jun18 Retail'!$D57,Adjustments!$C$5:$C$557,'Jul17-Jun18 Retail'!$E57)</f>
        <v>0</v>
      </c>
      <c r="AN57" s="40">
        <f ca="1">SUMIFS(Adjustments!O$5:O$557,Adjustments!$B$5:$B$557,'Jul17-Jun18 Retail'!$D57,Adjustments!$C$5:$C$557,'Jul17-Jun18 Retail'!$E57)</f>
        <v>0</v>
      </c>
      <c r="AO57" s="40">
        <f ca="1">SUMIFS(Adjustments!P$5:P$557,Adjustments!$B$5:$B$557,'Jul17-Jun18 Retail'!$D57,Adjustments!$C$5:$C$557,'Jul17-Jun18 Retail'!$E57)</f>
        <v>0</v>
      </c>
      <c r="AP57" s="28">
        <f t="shared" ca="1" si="211"/>
        <v>0</v>
      </c>
      <c r="AQ57" s="28">
        <f t="shared" ca="1" si="212"/>
        <v>0</v>
      </c>
      <c r="AR57" s="28">
        <f t="shared" ca="1" si="213"/>
        <v>0</v>
      </c>
      <c r="AS57" s="28">
        <f t="shared" ca="1" si="214"/>
        <v>0</v>
      </c>
      <c r="AT57" s="35">
        <f t="shared" si="215"/>
        <v>0</v>
      </c>
      <c r="AU57" s="35">
        <f t="shared" si="216"/>
        <v>0</v>
      </c>
      <c r="AV57" s="35"/>
      <c r="AW57" s="35">
        <f t="shared" si="217"/>
        <v>0</v>
      </c>
      <c r="AX57" s="28">
        <f t="shared" ca="1" si="218"/>
        <v>0</v>
      </c>
      <c r="AY57" s="28"/>
      <c r="AZ57" s="35">
        <f t="shared" ca="1" si="219"/>
        <v>0</v>
      </c>
      <c r="BA57" s="35">
        <f t="shared" ref="BA57" si="227">SUM(BC57:BJ57)-BF57</f>
        <v>0</v>
      </c>
      <c r="BB57" s="36">
        <f t="shared" si="220"/>
        <v>0</v>
      </c>
      <c r="BC57" s="35">
        <f>SUMIFS('Fin Forecast'!$R$3:$R$600,'Fin Forecast'!$B$3:$B$600,'Jul17-Jun18 Retail'!$E57,'Fin Forecast'!$C$3:$C$600,'Jul17-Jun18 Retail'!$BC$5)*1000</f>
        <v>0</v>
      </c>
      <c r="BD57" s="35">
        <f>SUMIFS('Fin Forecast'!$R$3:$R$600,'Fin Forecast'!$B$3:$B$600,'Jul17-Jun18 Retail'!$E57,'Fin Forecast'!$C$3:$C$600,'Jul17-Jun18 Retail'!$BD$5)*1000</f>
        <v>0</v>
      </c>
      <c r="BE57" s="35"/>
      <c r="BF57" s="35"/>
      <c r="BG57" s="35">
        <f>SUMIFS('Fin Forecast'!$R$3:$R$600,'Fin Forecast'!$B$3:$B$600,'Jul17-Jun18 Retail'!$E57,'Fin Forecast'!$C$3:$C$600,'Jul17-Jun18 Retail'!$BG$5)*1000</f>
        <v>0</v>
      </c>
      <c r="BH57" s="35">
        <f>SUMIFS('Fin Forecast'!$R$3:$R$600,'Fin Forecast'!$B$3:$B$600,'Jul17-Jun18 Retail'!$E57,'Fin Forecast'!$C$3:$C$600,'Jul17-Jun18 Retail'!$BH$5)*1000</f>
        <v>0</v>
      </c>
      <c r="BI57" s="35">
        <f>SUMIFS('Fin Forecast'!$R$3:$R$600,'Fin Forecast'!$B$3:$B$600,'Jul17-Jun18 Retail'!$E57,'Fin Forecast'!$C$3:$C$600,'Jul17-Jun18 Retail'!$BI$5)*1000</f>
        <v>0</v>
      </c>
      <c r="BJ57" s="35">
        <f>SUMIFS('Fin Forecast'!$R$3:$R$600,'Fin Forecast'!$B$3:$B$600,'Jul17-Jun18 Retail'!$E57,'Fin Forecast'!$C$3:$C$600,'Jul17-Jun18 Retail'!$BJ$5)*1000</f>
        <v>0</v>
      </c>
      <c r="BL57" s="44">
        <f t="shared" ca="1" si="221"/>
        <v>0</v>
      </c>
      <c r="BN57" s="49">
        <f t="shared" ca="1" si="222"/>
        <v>0</v>
      </c>
      <c r="BO57" s="49">
        <f t="shared" ca="1" si="223"/>
        <v>0</v>
      </c>
      <c r="BP57" s="49">
        <f t="shared" si="224"/>
        <v>0</v>
      </c>
    </row>
    <row r="58" spans="1:68" ht="15" x14ac:dyDescent="0.25">
      <c r="A58" s="304" t="s">
        <v>443</v>
      </c>
      <c r="B58" s="304" t="s">
        <v>444</v>
      </c>
      <c r="C58" s="6">
        <f>C57+1</f>
        <v>45</v>
      </c>
      <c r="D58" s="361">
        <f>$D$56</f>
        <v>43132</v>
      </c>
      <c r="E58" s="361" t="str">
        <f>+'Retail Rates'!$B$15</f>
        <v>LGCMG851</v>
      </c>
      <c r="F58" s="6" t="str">
        <f t="shared" si="225"/>
        <v>851</v>
      </c>
      <c r="G58" s="6" t="str">
        <f>VLOOKUP(E58,'Retail Rates'!$B$7:$D$34,3,FALSE)</f>
        <v>CGS</v>
      </c>
      <c r="H58" s="25"/>
      <c r="I58" s="25">
        <f>SUMIFS('Forcasted Customer Cts'!$W$5:$W$36,'Forcasted Customer Cts'!$D$5:$D$36,'Jul17-Jun18 Retail'!$E58,'Forcasted Customer Cts'!$C$5:$C$36,'Jul17-Jun18 Retail'!$A$9)</f>
        <v>24239</v>
      </c>
      <c r="J58" s="25">
        <f>SUMIFS('Forcasted Customer Cts'!$W$5:$W$36,'Forcasted Customer Cts'!$D$5:$D$36,'Jul17-Jun18 Retail'!$E58,'Forcasted Customer Cts'!$C$5:$C$36,'Jul17-Jun18 Retail'!$B$9)</f>
        <v>1009</v>
      </c>
      <c r="K58" s="25">
        <f>SUMIF('Forecasted Calendar Month Usage'!$D$5:$D$41,'Jul17-Jun18 Retail'!$E58,'Forecasted Calendar Month Usage'!$AE$5:$AE$41)*10</f>
        <v>17661882.255179357</v>
      </c>
      <c r="L58" s="25"/>
      <c r="M58" s="25"/>
      <c r="N58" s="26">
        <f>VLOOKUP($E58,'Retail Rates'!$B$7:$L$34,5,FALSE)</f>
        <v>40</v>
      </c>
      <c r="O58" s="26">
        <f>VLOOKUP($E58,'Retail Rates'!$B$7:$L$34,6,FALSE)</f>
        <v>180</v>
      </c>
      <c r="P58" s="27">
        <f>VLOOKUP($E58,'Retail Rates'!$B$7:$L$34,7,FALSE)</f>
        <v>0.21504000000000001</v>
      </c>
      <c r="Q58" s="27">
        <f>VLOOKUP($E58,'Retail Rates'!$B$7:$L$34,8,FALSE)</f>
        <v>0.16504000000000002</v>
      </c>
      <c r="R58" s="27"/>
      <c r="S58" s="26">
        <f>VLOOKUP($E58,'Retail Rates'!$B$7:$L$34,9,FALSE)</f>
        <v>0</v>
      </c>
      <c r="T58" s="27">
        <f>VLOOKUP($E58,'Retail Rates'!$B$7:$L$34,10,FALSE)</f>
        <v>0</v>
      </c>
      <c r="U58" s="26">
        <f>VLOOKUP($E58,'Retail Rates'!$B$7:$L$34,11,FALSE)</f>
        <v>0</v>
      </c>
      <c r="V58" s="309"/>
      <c r="W58" s="28">
        <f t="shared" si="206"/>
        <v>969560</v>
      </c>
      <c r="X58" s="28"/>
      <c r="Y58" s="28">
        <f>+J58*O58</f>
        <v>181620</v>
      </c>
      <c r="Z58" s="28">
        <f t="shared" si="207"/>
        <v>3798011.160153769</v>
      </c>
      <c r="AA58" s="28">
        <f t="shared" si="208"/>
        <v>0</v>
      </c>
      <c r="AB58" s="28">
        <f t="shared" si="209"/>
        <v>0</v>
      </c>
      <c r="AC58" s="28"/>
      <c r="AD58" s="28"/>
      <c r="AE58" s="28">
        <f t="shared" si="226"/>
        <v>0</v>
      </c>
      <c r="AF58" s="28">
        <f t="shared" si="210"/>
        <v>0</v>
      </c>
      <c r="AG58" s="48">
        <f ca="1">SUMIFS(Adjustments!H$5:H$557,Adjustments!$B$5:$B$557,'Jul17-Jun18 Retail'!$D58,Adjustments!$C$5:$C$557,'Jul17-Jun18 Retail'!$E58)</f>
        <v>0</v>
      </c>
      <c r="AH58" s="48">
        <f ca="1">SUMIFS(Adjustments!I$5:I$557,Adjustments!$B$5:$B$557,'Jul17-Jun18 Retail'!$D58,Adjustments!$C$5:$C$557,'Jul17-Jun18 Retail'!$E58)</f>
        <v>0</v>
      </c>
      <c r="AI58" s="40">
        <f ca="1">SUMIFS(Adjustments!J$5:J$557,Adjustments!$B$5:$B$557,'Jul17-Jun18 Retail'!$D58,Adjustments!$C$5:$C$557,'Jul17-Jun18 Retail'!$E58)</f>
        <v>0</v>
      </c>
      <c r="AJ58" s="40">
        <f ca="1">SUMIFS(Adjustments!K$5:K$557,Adjustments!$B$5:$B$557,'Jul17-Jun18 Retail'!$D58,Adjustments!$C$5:$C$557,'Jul17-Jun18 Retail'!$E58)</f>
        <v>0</v>
      </c>
      <c r="AK58" s="40">
        <f ca="1">SUMIFS(Adjustments!L$5:L$557,Adjustments!$B$5:$B$557,'Jul17-Jun18 Retail'!$D58,Adjustments!$C$5:$C$557,'Jul17-Jun18 Retail'!$E58)</f>
        <v>0</v>
      </c>
      <c r="AL58" s="40">
        <f ca="1">SUMIFS(Adjustments!M$5:M$557,Adjustments!$B$5:$B$557,'Jul17-Jun18 Retail'!$D58,Adjustments!$C$5:$C$557,'Jul17-Jun18 Retail'!$E58)</f>
        <v>0</v>
      </c>
      <c r="AM58" s="40">
        <f ca="1">SUMIFS(Adjustments!N$5:N$557,Adjustments!$B$5:$B$557,'Jul17-Jun18 Retail'!$D58,Adjustments!$C$5:$C$557,'Jul17-Jun18 Retail'!$E58)</f>
        <v>0</v>
      </c>
      <c r="AN58" s="40">
        <f ca="1">SUMIFS(Adjustments!O$5:O$557,Adjustments!$B$5:$B$557,'Jul17-Jun18 Retail'!$D58,Adjustments!$C$5:$C$557,'Jul17-Jun18 Retail'!$E58)</f>
        <v>0</v>
      </c>
      <c r="AO58" s="40">
        <f ca="1">SUMIFS(Adjustments!P$5:P$557,Adjustments!$B$5:$B$557,'Jul17-Jun18 Retail'!$D58,Adjustments!$C$5:$C$557,'Jul17-Jun18 Retail'!$E58)</f>
        <v>0</v>
      </c>
      <c r="AP58" s="28">
        <f t="shared" ca="1" si="211"/>
        <v>969560</v>
      </c>
      <c r="AQ58" s="28">
        <f t="shared" ca="1" si="212"/>
        <v>181620</v>
      </c>
      <c r="AR58" s="28">
        <f t="shared" ca="1" si="213"/>
        <v>3798011.160153769</v>
      </c>
      <c r="AS58" s="28">
        <f t="shared" ca="1" si="214"/>
        <v>0</v>
      </c>
      <c r="AT58" s="35">
        <f t="shared" si="215"/>
        <v>8235220.6015468398</v>
      </c>
      <c r="AU58" s="35">
        <f t="shared" si="216"/>
        <v>114026.56912359041</v>
      </c>
      <c r="AV58" s="35"/>
      <c r="AW58" s="35">
        <f t="shared" si="217"/>
        <v>868110.10972683493</v>
      </c>
      <c r="AX58" s="28">
        <f t="shared" ca="1" si="218"/>
        <v>0</v>
      </c>
      <c r="AY58" s="28"/>
      <c r="AZ58" s="35">
        <f t="shared" ref="AZ58:AZ60" ca="1" si="228">ROUND(SUM(AP58:AY58),2)</f>
        <v>14166548.439999999</v>
      </c>
      <c r="BA58" s="35">
        <f t="shared" ref="BA58:BA60" si="229">SUM(BC58:BJ58)-BF58</f>
        <v>14166548.440569233</v>
      </c>
      <c r="BB58" s="36">
        <f t="shared" ca="1" si="220"/>
        <v>1</v>
      </c>
      <c r="BC58" s="35">
        <f>SUMIFS('Fin Forecast'!$R$3:$R$600,'Fin Forecast'!$B$3:$B$600,'Jul17-Jun18 Retail'!$E58,'Fin Forecast'!$C$3:$C$600,'Jul17-Jun18 Retail'!$BC$5)*1000</f>
        <v>114026.56912359041</v>
      </c>
      <c r="BD58" s="35">
        <f>SUMIFS('Fin Forecast'!$R$3:$R$600,'Fin Forecast'!$B$3:$B$600,'Jul17-Jun18 Retail'!$E58,'Fin Forecast'!$C$3:$C$600,'Jul17-Jun18 Retail'!$BD$5)*1000</f>
        <v>8235220.6015468398</v>
      </c>
      <c r="BE58" s="35"/>
      <c r="BF58" s="35"/>
      <c r="BG58" s="35">
        <f>SUMIFS('Fin Forecast'!$R$3:$R$600,'Fin Forecast'!$B$3:$B$600,'Jul17-Jun18 Retail'!$E58,'Fin Forecast'!$C$3:$C$600,'Jul17-Jun18 Retail'!$BG$5)*1000</f>
        <v>1151179.9999999998</v>
      </c>
      <c r="BH58" s="35">
        <f>SUMIFS('Fin Forecast'!$R$3:$R$600,'Fin Forecast'!$B$3:$B$600,'Jul17-Jun18 Retail'!$E58,'Fin Forecast'!$C$3:$C$600,'Jul17-Jun18 Retail'!$BH$5)*1000</f>
        <v>3798011.1601719698</v>
      </c>
      <c r="BI58" s="35">
        <f>SUMIFS('Fin Forecast'!$R$3:$R$600,'Fin Forecast'!$B$3:$B$600,'Jul17-Jun18 Retail'!$E58,'Fin Forecast'!$C$3:$C$600,'Jul17-Jun18 Retail'!$BI$5)*1000</f>
        <v>0</v>
      </c>
      <c r="BJ58" s="35">
        <f>SUMIFS('Fin Forecast'!$R$3:$R$600,'Fin Forecast'!$B$3:$B$600,'Jul17-Jun18 Retail'!$E58,'Fin Forecast'!$C$3:$C$600,'Jul17-Jun18 Retail'!$BJ$5)*1000</f>
        <v>868110.10972683493</v>
      </c>
      <c r="BL58" s="44">
        <f t="shared" ca="1" si="221"/>
        <v>-5.6923367083072662E-4</v>
      </c>
      <c r="BN58" s="49">
        <f t="shared" ca="1" si="222"/>
        <v>0</v>
      </c>
      <c r="BO58" s="49">
        <f t="shared" ca="1" si="223"/>
        <v>-1.8200837075710297E-5</v>
      </c>
      <c r="BP58" s="49">
        <f t="shared" si="224"/>
        <v>0</v>
      </c>
    </row>
    <row r="59" spans="1:68" ht="15" x14ac:dyDescent="0.25">
      <c r="A59" s="304"/>
      <c r="B59" s="304"/>
      <c r="C59" s="6">
        <f t="shared" ref="C59:C61" si="230">C58+1</f>
        <v>46</v>
      </c>
      <c r="D59" s="361">
        <f>$D$56</f>
        <v>43132</v>
      </c>
      <c r="E59" s="361" t="str">
        <f>+'Retail Rates'!$B$20</f>
        <v>LGCMG875</v>
      </c>
      <c r="F59" s="6" t="str">
        <f t="shared" si="225"/>
        <v>875</v>
      </c>
      <c r="G59" s="6" t="str">
        <f>VLOOKUP(E59,'Retail Rates'!$B$7:$D$34,3,FALSE)</f>
        <v>DGGS-C</v>
      </c>
      <c r="H59" s="25">
        <v>1</v>
      </c>
      <c r="I59" s="25"/>
      <c r="J59" s="25"/>
      <c r="K59" s="25">
        <v>6</v>
      </c>
      <c r="L59" s="25"/>
      <c r="M59" s="25">
        <v>483</v>
      </c>
      <c r="N59" s="26">
        <f>VLOOKUP($E59,'Retail Rates'!$B$7:$L$34,5,FALSE)</f>
        <v>40</v>
      </c>
      <c r="O59" s="26">
        <f>VLOOKUP($E59,'Retail Rates'!$B$7:$L$34,6,FALSE)</f>
        <v>180</v>
      </c>
      <c r="P59" s="27">
        <f>VLOOKUP($E59,'Retail Rates'!$B$7:$L$34,7,FALSE)</f>
        <v>3.329E-2</v>
      </c>
      <c r="Q59" s="27">
        <f>VLOOKUP($E59,'Retail Rates'!$B$7:$L$34,8,FALSE)</f>
        <v>0</v>
      </c>
      <c r="R59" s="27"/>
      <c r="S59" s="26">
        <f>VLOOKUP($E59,'Retail Rates'!$B$7:$L$34,9,FALSE)</f>
        <v>0</v>
      </c>
      <c r="T59" s="27">
        <f>VLOOKUP($E59,'Retail Rates'!$B$7:$L$34,10,FALSE)</f>
        <v>0</v>
      </c>
      <c r="U59" s="403">
        <f>VLOOKUP($E59,'Retail Rates'!$B$7:$L$34,11,FALSE)</f>
        <v>1.1263000000000001</v>
      </c>
      <c r="V59" s="309"/>
      <c r="W59" s="28">
        <f t="shared" si="206"/>
        <v>40</v>
      </c>
      <c r="X59" s="28"/>
      <c r="Y59" s="28"/>
      <c r="Z59" s="28">
        <f t="shared" si="207"/>
        <v>0.19974</v>
      </c>
      <c r="AA59" s="28">
        <f t="shared" si="208"/>
        <v>0</v>
      </c>
      <c r="AB59" s="28">
        <f t="shared" si="209"/>
        <v>0</v>
      </c>
      <c r="AC59" s="28"/>
      <c r="AD59" s="28"/>
      <c r="AE59" s="28">
        <f t="shared" si="226"/>
        <v>544.00290000000007</v>
      </c>
      <c r="AF59" s="28">
        <f t="shared" si="210"/>
        <v>0</v>
      </c>
      <c r="AG59" s="48">
        <f ca="1">SUMIFS(Adjustments!H$5:H$557,Adjustments!$B$5:$B$557,'Jul17-Jun18 Retail'!$D59,Adjustments!$C$5:$C$557,'Jul17-Jun18 Retail'!$E59)</f>
        <v>0</v>
      </c>
      <c r="AH59" s="48">
        <f ca="1">SUMIFS(Adjustments!I$5:I$557,Adjustments!$B$5:$B$557,'Jul17-Jun18 Retail'!$D59,Adjustments!$C$5:$C$557,'Jul17-Jun18 Retail'!$E59)</f>
        <v>0</v>
      </c>
      <c r="AI59" s="40">
        <f ca="1">SUMIFS(Adjustments!J$5:J$557,Adjustments!$B$5:$B$557,'Jul17-Jun18 Retail'!$D59,Adjustments!$C$5:$C$557,'Jul17-Jun18 Retail'!$E59)</f>
        <v>0</v>
      </c>
      <c r="AJ59" s="40">
        <f ca="1">SUMIFS(Adjustments!K$5:K$557,Adjustments!$B$5:$B$557,'Jul17-Jun18 Retail'!$D59,Adjustments!$C$5:$C$557,'Jul17-Jun18 Retail'!$E59)</f>
        <v>0</v>
      </c>
      <c r="AK59" s="40">
        <f ca="1">SUMIFS(Adjustments!L$5:L$557,Adjustments!$B$5:$B$557,'Jul17-Jun18 Retail'!$D59,Adjustments!$C$5:$C$557,'Jul17-Jun18 Retail'!$E59)</f>
        <v>0</v>
      </c>
      <c r="AL59" s="40">
        <f ca="1">SUMIFS(Adjustments!M$5:M$557,Adjustments!$B$5:$B$557,'Jul17-Jun18 Retail'!$D59,Adjustments!$C$5:$C$557,'Jul17-Jun18 Retail'!$E59)</f>
        <v>0</v>
      </c>
      <c r="AM59" s="40">
        <f ca="1">SUMIFS(Adjustments!N$5:N$557,Adjustments!$B$5:$B$557,'Jul17-Jun18 Retail'!$D59,Adjustments!$C$5:$C$557,'Jul17-Jun18 Retail'!$E59)</f>
        <v>0</v>
      </c>
      <c r="AN59" s="40">
        <f ca="1">SUMIFS(Adjustments!O$5:O$557,Adjustments!$B$5:$B$557,'Jul17-Jun18 Retail'!$D59,Adjustments!$C$5:$C$557,'Jul17-Jun18 Retail'!$E59)</f>
        <v>0</v>
      </c>
      <c r="AO59" s="40">
        <f ca="1">SUMIFS(Adjustments!P$5:P$557,Adjustments!$B$5:$B$557,'Jul17-Jun18 Retail'!$D59,Adjustments!$C$5:$C$557,'Jul17-Jun18 Retail'!$E59)</f>
        <v>0</v>
      </c>
      <c r="AP59" s="28">
        <f t="shared" ca="1" si="211"/>
        <v>40</v>
      </c>
      <c r="AQ59" s="28">
        <f t="shared" ca="1" si="212"/>
        <v>0</v>
      </c>
      <c r="AR59" s="28">
        <f t="shared" ca="1" si="213"/>
        <v>0.19974</v>
      </c>
      <c r="AS59" s="28">
        <f t="shared" ca="1" si="214"/>
        <v>0</v>
      </c>
      <c r="AT59" s="35">
        <f t="shared" si="215"/>
        <v>2.7976250149982902</v>
      </c>
      <c r="AU59" s="35">
        <f t="shared" si="216"/>
        <v>3.8736495060578101E-2</v>
      </c>
      <c r="AV59" s="35"/>
      <c r="AW59" s="35">
        <f t="shared" si="217"/>
        <v>0</v>
      </c>
      <c r="AX59" s="28">
        <f t="shared" ca="1" si="218"/>
        <v>544.00290000000007</v>
      </c>
      <c r="AY59" s="28"/>
      <c r="AZ59" s="35">
        <f t="shared" ca="1" si="228"/>
        <v>587.04</v>
      </c>
      <c r="BA59" s="35">
        <f t="shared" si="229"/>
        <v>587.03900151005882</v>
      </c>
      <c r="BB59" s="36">
        <f t="shared" ca="1" si="220"/>
        <v>0.99999800000000005</v>
      </c>
      <c r="BC59" s="35">
        <f>SUMIFS('Fin Forecast'!$R$3:$R$600,'Fin Forecast'!$B$3:$B$600,'Jul17-Jun18 Retail'!$E59,'Fin Forecast'!$C$3:$C$600,'Jul17-Jun18 Retail'!$BC$5)*1000</f>
        <v>3.8736495060578101E-2</v>
      </c>
      <c r="BD59" s="35">
        <f>SUMIFS('Fin Forecast'!$R$3:$R$600,'Fin Forecast'!$B$3:$B$600,'Jul17-Jun18 Retail'!$E59,'Fin Forecast'!$C$3:$C$600,'Jul17-Jun18 Retail'!$BD$5)*1000</f>
        <v>2.7976250149982902</v>
      </c>
      <c r="BE59" s="35"/>
      <c r="BF59" s="35"/>
      <c r="BG59" s="35">
        <f>SUMIFS('Fin Forecast'!$R$3:$R$600,'Fin Forecast'!$B$3:$B$600,'Jul17-Jun18 Retail'!$E59,'Fin Forecast'!$C$3:$C$600,'Jul17-Jun18 Retail'!$BG$5)*1000</f>
        <v>40</v>
      </c>
      <c r="BH59" s="35">
        <f>SUMIFS('Fin Forecast'!$R$3:$R$600,'Fin Forecast'!$B$3:$B$600,'Jul17-Jun18 Retail'!$E59,'Fin Forecast'!$C$3:$C$600,'Jul17-Jun18 Retail'!$BH$5)*1000</f>
        <v>0.199739999999999</v>
      </c>
      <c r="BI59" s="35">
        <f>SUMIFS('Fin Forecast'!$R$3:$R$600,'Fin Forecast'!$B$3:$B$600,'Jul17-Jun18 Retail'!$E59,'Fin Forecast'!$C$3:$C$600,'Jul17-Jun18 Retail'!$BI$5)*1000</f>
        <v>544.00289999999995</v>
      </c>
      <c r="BJ59" s="35">
        <f>SUMIFS('Fin Forecast'!$R$3:$R$600,'Fin Forecast'!$B$3:$B$600,'Jul17-Jun18 Retail'!$E59,'Fin Forecast'!$C$3:$C$600,'Jul17-Jun18 Retail'!$BJ$5)*1000</f>
        <v>0</v>
      </c>
      <c r="BL59" s="44">
        <f t="shared" ca="1" si="221"/>
        <v>9.9848994113926892E-4</v>
      </c>
      <c r="BN59" s="49">
        <f t="shared" ca="1" si="222"/>
        <v>0</v>
      </c>
      <c r="BO59" s="49">
        <f t="shared" ca="1" si="223"/>
        <v>9.9920072216264089E-16</v>
      </c>
      <c r="BP59" s="49">
        <f t="shared" si="224"/>
        <v>0</v>
      </c>
    </row>
    <row r="60" spans="1:68" ht="15" x14ac:dyDescent="0.25">
      <c r="A60" s="418" t="s">
        <v>637</v>
      </c>
      <c r="C60" s="6">
        <f t="shared" si="230"/>
        <v>47</v>
      </c>
      <c r="D60" s="361">
        <f>$D$56</f>
        <v>43132</v>
      </c>
      <c r="E60" s="361" t="str">
        <f>+'Retail Rates'!$B$26</f>
        <v>LGING855</v>
      </c>
      <c r="F60" s="6" t="str">
        <f t="shared" si="225"/>
        <v>855</v>
      </c>
      <c r="G60" s="6" t="s">
        <v>111</v>
      </c>
      <c r="H60" s="25"/>
      <c r="I60" s="25">
        <f>SUMIFS('Forcasted Customer Cts'!$W$5:$W$36,'Forcasted Customer Cts'!$D$5:$D$36,'Jul17-Jun18 Retail'!$E60,'Forcasted Customer Cts'!$C$5:$C$36,'Jul17-Jun18 Retail'!$A$9)</f>
        <v>147</v>
      </c>
      <c r="J60" s="25">
        <f>SUMIFS('Forcasted Customer Cts'!$W$5:$W$36,'Forcasted Customer Cts'!$D$5:$D$36,'Jul17-Jun18 Retail'!$E60,'Forcasted Customer Cts'!$C$5:$C$36,'Jul17-Jun18 Retail'!$B$9)</f>
        <v>115</v>
      </c>
      <c r="K60" s="25">
        <f>SUMIF('Forecasted Calendar Month Usage'!$D$5:$D$41,'Jul17-Jun18 Retail'!$E60,'Forecasted Calendar Month Usage'!$AE$5:$AE$41)*10</f>
        <v>1771250.1983670574</v>
      </c>
      <c r="L60" s="25"/>
      <c r="M60" s="25"/>
      <c r="N60" s="26">
        <f>VLOOKUP($E60,'Retail Rates'!$B$7:$L$34,5,FALSE)</f>
        <v>40</v>
      </c>
      <c r="O60" s="26">
        <f>VLOOKUP($E60,'Retail Rates'!$B$7:$L$34,6,FALSE)</f>
        <v>180</v>
      </c>
      <c r="P60" s="27">
        <f>VLOOKUP($E60,'Retail Rates'!$B$7:$L$34,7,FALSE)</f>
        <v>0.22778999999999999</v>
      </c>
      <c r="Q60" s="27">
        <f>VLOOKUP($E60,'Retail Rates'!$B$7:$L$34,8,FALSE)</f>
        <v>0.17779</v>
      </c>
      <c r="R60" s="27"/>
      <c r="S60" s="26">
        <f>VLOOKUP($E60,'Retail Rates'!$B$7:$L$34,9,FALSE)</f>
        <v>0</v>
      </c>
      <c r="T60" s="27">
        <f>VLOOKUP($E60,'Retail Rates'!$B$7:$L$34,10,FALSE)</f>
        <v>0</v>
      </c>
      <c r="U60" s="26">
        <f>VLOOKUP($E60,'Retail Rates'!$B$7:$L$34,11,FALSE)</f>
        <v>0</v>
      </c>
      <c r="V60" s="309"/>
      <c r="W60" s="28">
        <f t="shared" si="206"/>
        <v>5880</v>
      </c>
      <c r="X60" s="28"/>
      <c r="Y60" s="28">
        <f t="shared" ref="Y60" si="231">+J60*O60</f>
        <v>20700</v>
      </c>
      <c r="Z60" s="28">
        <f t="shared" si="207"/>
        <v>403473.08268603199</v>
      </c>
      <c r="AA60" s="28">
        <f t="shared" si="208"/>
        <v>0</v>
      </c>
      <c r="AB60" s="28">
        <f t="shared" si="209"/>
        <v>0</v>
      </c>
      <c r="AC60" s="28"/>
      <c r="AD60" s="28"/>
      <c r="AE60" s="28">
        <f t="shared" si="226"/>
        <v>0</v>
      </c>
      <c r="AF60" s="28">
        <f>(+I60*V60)+(J60*V60)</f>
        <v>0</v>
      </c>
      <c r="AG60" s="48">
        <f ca="1">SUMIFS(Adjustments!H$5:H$557,Adjustments!$B$5:$B$557,'Jul17-Jun18 Retail'!$D60,Adjustments!$C$5:$C$557,'Jul17-Jun18 Retail'!$E60)</f>
        <v>0</v>
      </c>
      <c r="AH60" s="48">
        <f ca="1">SUMIFS(Adjustments!I$5:I$557,Adjustments!$B$5:$B$557,'Jul17-Jun18 Retail'!$D60,Adjustments!$C$5:$C$557,'Jul17-Jun18 Retail'!$E60)</f>
        <v>0</v>
      </c>
      <c r="AI60" s="40">
        <f ca="1">SUMIFS(Adjustments!J$5:J$557,Adjustments!$B$5:$B$557,'Jul17-Jun18 Retail'!$D60,Adjustments!$C$5:$C$557,'Jul17-Jun18 Retail'!$E60)</f>
        <v>0</v>
      </c>
      <c r="AJ60" s="40">
        <f ca="1">SUMIFS(Adjustments!K$5:K$557,Adjustments!$B$5:$B$557,'Jul17-Jun18 Retail'!$D60,Adjustments!$C$5:$C$557,'Jul17-Jun18 Retail'!$E60)</f>
        <v>0</v>
      </c>
      <c r="AK60" s="40">
        <f ca="1">SUMIFS(Adjustments!L$5:L$557,Adjustments!$B$5:$B$557,'Jul17-Jun18 Retail'!$D60,Adjustments!$C$5:$C$557,'Jul17-Jun18 Retail'!$E60)</f>
        <v>0</v>
      </c>
      <c r="AL60" s="40">
        <f ca="1">SUMIFS(Adjustments!M$5:M$557,Adjustments!$B$5:$B$557,'Jul17-Jun18 Retail'!$D60,Adjustments!$C$5:$C$557,'Jul17-Jun18 Retail'!$E60)</f>
        <v>0</v>
      </c>
      <c r="AM60" s="40">
        <f ca="1">SUMIFS(Adjustments!N$5:N$557,Adjustments!$B$5:$B$557,'Jul17-Jun18 Retail'!$D60,Adjustments!$C$5:$C$557,'Jul17-Jun18 Retail'!$E60)</f>
        <v>0</v>
      </c>
      <c r="AN60" s="40">
        <f ca="1">SUMIFS(Adjustments!O$5:O$557,Adjustments!$B$5:$B$557,'Jul17-Jun18 Retail'!$D60,Adjustments!$C$5:$C$557,'Jul17-Jun18 Retail'!$E60)</f>
        <v>0</v>
      </c>
      <c r="AO60" s="40">
        <f ca="1">SUMIFS(Adjustments!P$5:P$557,Adjustments!$B$5:$B$557,'Jul17-Jun18 Retail'!$D60,Adjustments!$C$5:$C$557,'Jul17-Jun18 Retail'!$E60)</f>
        <v>0</v>
      </c>
      <c r="AP60" s="28">
        <f t="shared" ca="1" si="211"/>
        <v>5880</v>
      </c>
      <c r="AQ60" s="28">
        <f t="shared" ca="1" si="212"/>
        <v>20700</v>
      </c>
      <c r="AR60" s="28">
        <f t="shared" ca="1" si="213"/>
        <v>403473.08268603199</v>
      </c>
      <c r="AS60" s="28">
        <f t="shared" ca="1" si="214"/>
        <v>0</v>
      </c>
      <c r="AT60" s="35">
        <f t="shared" si="215"/>
        <v>825882.31067325582</v>
      </c>
      <c r="AU60" s="35">
        <f t="shared" si="216"/>
        <v>0</v>
      </c>
      <c r="AV60" s="35"/>
      <c r="AW60" s="35">
        <f t="shared" si="217"/>
        <v>85229.91914078244</v>
      </c>
      <c r="AX60" s="28">
        <f t="shared" ca="1" si="218"/>
        <v>0</v>
      </c>
      <c r="AY60" s="28"/>
      <c r="AZ60" s="35">
        <f t="shared" ca="1" si="228"/>
        <v>1341165.31</v>
      </c>
      <c r="BA60" s="35">
        <f t="shared" si="229"/>
        <v>1341165.312603246</v>
      </c>
      <c r="BB60" s="36">
        <f t="shared" ca="1" si="220"/>
        <v>1</v>
      </c>
      <c r="BC60" s="35">
        <f>SUMIFS('Fin Forecast'!$R$3:$R$600,'Fin Forecast'!$B$3:$B$600,'Jul17-Jun18 Retail'!$E60,'Fin Forecast'!$C$3:$C$600,'Jul17-Jun18 Retail'!$BC$5)*1000</f>
        <v>0</v>
      </c>
      <c r="BD60" s="35">
        <f>SUMIFS('Fin Forecast'!$R$3:$R$600,'Fin Forecast'!$B$3:$B$600,'Jul17-Jun18 Retail'!$E60,'Fin Forecast'!$C$3:$C$600,'Jul17-Jun18 Retail'!$BD$5)*1000</f>
        <v>825882.31067325582</v>
      </c>
      <c r="BE60" s="35"/>
      <c r="BF60" s="35"/>
      <c r="BG60" s="35">
        <f>SUMIFS('Fin Forecast'!$R$3:$R$600,'Fin Forecast'!$B$3:$B$600,'Jul17-Jun18 Retail'!$E60,'Fin Forecast'!$C$3:$C$600,'Jul17-Jun18 Retail'!$BG$5)*1000</f>
        <v>26580.000000000004</v>
      </c>
      <c r="BH60" s="35">
        <f>SUMIFS('Fin Forecast'!$R$3:$R$600,'Fin Forecast'!$B$3:$B$600,'Jul17-Jun18 Retail'!$E60,'Fin Forecast'!$C$3:$C$600,'Jul17-Jun18 Retail'!$BH$5)*1000</f>
        <v>403473.08278920769</v>
      </c>
      <c r="BI60" s="35">
        <f>SUMIFS('Fin Forecast'!$R$3:$R$600,'Fin Forecast'!$B$3:$B$600,'Jul17-Jun18 Retail'!$E60,'Fin Forecast'!$C$3:$C$600,'Jul17-Jun18 Retail'!$BI$5)*1000</f>
        <v>0</v>
      </c>
      <c r="BJ60" s="35">
        <f>SUMIFS('Fin Forecast'!$R$3:$R$600,'Fin Forecast'!$B$3:$B$600,'Jul17-Jun18 Retail'!$E60,'Fin Forecast'!$C$3:$C$600,'Jul17-Jun18 Retail'!$BJ$5)*1000</f>
        <v>85229.91914078244</v>
      </c>
      <c r="BL60" s="44">
        <f t="shared" ca="1" si="221"/>
        <v>-2.6032458990812302E-3</v>
      </c>
      <c r="BN60" s="49">
        <f t="shared" ca="1" si="222"/>
        <v>0</v>
      </c>
      <c r="BO60" s="49">
        <f t="shared" ca="1" si="223"/>
        <v>-1.0317569831386209E-4</v>
      </c>
      <c r="BP60" s="49">
        <f t="shared" si="224"/>
        <v>0</v>
      </c>
    </row>
    <row r="61" spans="1:68" ht="15" x14ac:dyDescent="0.25">
      <c r="C61" s="6">
        <f t="shared" si="230"/>
        <v>48</v>
      </c>
      <c r="D61" s="361">
        <f>$D$56</f>
        <v>43132</v>
      </c>
      <c r="E61" s="361" t="str">
        <f>+'Retail Rates'!$B$31</f>
        <v>LGRSG811</v>
      </c>
      <c r="F61" s="6" t="str">
        <f t="shared" si="225"/>
        <v>811</v>
      </c>
      <c r="G61" s="6" t="str">
        <f>VLOOKUP(E61,'Retail Rates'!$B$7:$D$34,3,FALSE)</f>
        <v>RGS</v>
      </c>
      <c r="H61" s="25">
        <f>SUMIF('Forcasted Customer Cts'!$D$5:$D$36,'Jul17-Jun18 Retail'!$E61,'Forcasted Customer Cts'!$W$5:$W$36)</f>
        <v>297472</v>
      </c>
      <c r="I61" s="25"/>
      <c r="J61" s="25"/>
      <c r="K61" s="25">
        <f>SUMIF('Forecasted Calendar Month Usage'!$D$5:$D$41,'Jul17-Jun18 Retail'!$E61,'Forecasted Calendar Month Usage'!$AE$5:$AE$41)*10</f>
        <v>36208170.590800799</v>
      </c>
      <c r="L61" s="25"/>
      <c r="M61" s="25"/>
      <c r="N61" s="26">
        <f>VLOOKUP($E61,'Retail Rates'!$B$7:$L$34,5,FALSE)</f>
        <v>13.5</v>
      </c>
      <c r="O61" s="26">
        <f>VLOOKUP($E61,'Retail Rates'!$B$7:$L$34,6,FALSE)</f>
        <v>0</v>
      </c>
      <c r="P61" s="27">
        <f>VLOOKUP($E61,'Retail Rates'!$B$7:$L$34,7,FALSE)</f>
        <v>0.28693000000000002</v>
      </c>
      <c r="Q61" s="27">
        <f>VLOOKUP($E61,'Retail Rates'!$B$7:$L$34,8,FALSE)</f>
        <v>0</v>
      </c>
      <c r="R61" s="27"/>
      <c r="S61" s="26">
        <f>VLOOKUP($E61,'Retail Rates'!$B$7:$L$34,9,FALSE)</f>
        <v>0</v>
      </c>
      <c r="T61" s="27">
        <f>VLOOKUP($E61,'Retail Rates'!$B$7:$L$34,10,FALSE)</f>
        <v>0</v>
      </c>
      <c r="U61" s="26">
        <f>VLOOKUP($E61,'Retail Rates'!$B$7:$L$34,11,FALSE)</f>
        <v>0</v>
      </c>
      <c r="V61" s="309"/>
      <c r="W61" s="28">
        <f t="shared" si="206"/>
        <v>4015872</v>
      </c>
      <c r="X61" s="28"/>
      <c r="Y61" s="28"/>
      <c r="Z61" s="28">
        <f t="shared" si="207"/>
        <v>10389210.387618475</v>
      </c>
      <c r="AA61" s="28">
        <f t="shared" si="208"/>
        <v>0</v>
      </c>
      <c r="AB61" s="28">
        <f t="shared" si="209"/>
        <v>0</v>
      </c>
      <c r="AC61" s="28"/>
      <c r="AD61" s="28"/>
      <c r="AE61" s="28">
        <f t="shared" si="226"/>
        <v>0</v>
      </c>
      <c r="AF61" s="28">
        <f t="shared" ref="AF61" si="232">(+H61*V61)+(I61*V61)</f>
        <v>0</v>
      </c>
      <c r="AG61" s="48">
        <f ca="1">SUMIFS(Adjustments!H$5:H$557,Adjustments!$B$5:$B$557,'Jul17-Jun18 Retail'!$D61,Adjustments!$C$5:$C$557,'Jul17-Jun18 Retail'!$E61)</f>
        <v>0</v>
      </c>
      <c r="AH61" s="48">
        <f ca="1">SUMIFS(Adjustments!I$5:I$557,Adjustments!$B$5:$B$557,'Jul17-Jun18 Retail'!$D61,Adjustments!$C$5:$C$557,'Jul17-Jun18 Retail'!$E61)</f>
        <v>0</v>
      </c>
      <c r="AI61" s="40">
        <f ca="1">SUMIFS(Adjustments!J$5:J$557,Adjustments!$B$5:$B$557,'Jul17-Jun18 Retail'!$D61,Adjustments!$C$5:$C$557,'Jul17-Jun18 Retail'!$E61)</f>
        <v>0</v>
      </c>
      <c r="AJ61" s="40">
        <f ca="1">SUMIFS(Adjustments!K$5:K$557,Adjustments!$B$5:$B$557,'Jul17-Jun18 Retail'!$D61,Adjustments!$C$5:$C$557,'Jul17-Jun18 Retail'!$E61)</f>
        <v>0</v>
      </c>
      <c r="AK61" s="40">
        <f ca="1">SUMIFS(Adjustments!L$5:L$557,Adjustments!$B$5:$B$557,'Jul17-Jun18 Retail'!$D61,Adjustments!$C$5:$C$557,'Jul17-Jun18 Retail'!$E61)</f>
        <v>0</v>
      </c>
      <c r="AL61" s="40">
        <f ca="1">SUMIFS(Adjustments!M$5:M$557,Adjustments!$B$5:$B$557,'Jul17-Jun18 Retail'!$D61,Adjustments!$C$5:$C$557,'Jul17-Jun18 Retail'!$E61)</f>
        <v>0</v>
      </c>
      <c r="AM61" s="40">
        <f ca="1">SUMIFS(Adjustments!N$5:N$557,Adjustments!$B$5:$B$557,'Jul17-Jun18 Retail'!$D61,Adjustments!$C$5:$C$557,'Jul17-Jun18 Retail'!$E61)</f>
        <v>0</v>
      </c>
      <c r="AN61" s="40">
        <f ca="1">SUMIFS(Adjustments!O$5:O$557,Adjustments!$B$5:$B$557,'Jul17-Jun18 Retail'!$D61,Adjustments!$C$5:$C$557,'Jul17-Jun18 Retail'!$E61)</f>
        <v>0</v>
      </c>
      <c r="AO61" s="40">
        <f ca="1">SUMIFS(Adjustments!P$5:P$557,Adjustments!$B$5:$B$557,'Jul17-Jun18 Retail'!$D61,Adjustments!$C$5:$C$557,'Jul17-Jun18 Retail'!$E61)</f>
        <v>0</v>
      </c>
      <c r="AP61" s="28">
        <f t="shared" ref="AP61" ca="1" si="233">+W61+AI61+(AG61*N61)</f>
        <v>4015872</v>
      </c>
      <c r="AQ61" s="28">
        <f t="shared" ca="1" si="212"/>
        <v>0</v>
      </c>
      <c r="AR61" s="28">
        <f t="shared" ca="1" si="213"/>
        <v>10389210.387618475</v>
      </c>
      <c r="AS61" s="28">
        <f t="shared" ca="1" si="214"/>
        <v>0</v>
      </c>
      <c r="AT61" s="35">
        <f t="shared" si="215"/>
        <v>16882813.965710402</v>
      </c>
      <c r="AU61" s="35">
        <f t="shared" si="216"/>
        <v>233762.93687872999</v>
      </c>
      <c r="AV61" s="35"/>
      <c r="AW61" s="35">
        <f t="shared" si="217"/>
        <v>2023813.03020924</v>
      </c>
      <c r="AX61" s="28">
        <f t="shared" ca="1" si="218"/>
        <v>0</v>
      </c>
      <c r="AY61" s="28"/>
      <c r="AZ61" s="35">
        <f t="shared" ref="AZ61" ca="1" si="234">ROUND(SUM(AP61:AY61),2)</f>
        <v>33545472.32</v>
      </c>
      <c r="BA61" s="35">
        <f t="shared" ref="BA61" si="235">SUM(BC61:BJ61)-BF61</f>
        <v>33545472.320633471</v>
      </c>
      <c r="BB61" s="36">
        <f t="shared" ca="1" si="220"/>
        <v>1</v>
      </c>
      <c r="BC61" s="35">
        <f>SUMIFS('Fin Forecast'!$R$3:$R$600,'Fin Forecast'!$B$3:$B$600,'Jul17-Jun18 Retail'!$E61,'Fin Forecast'!$C$3:$C$600,'Jul17-Jun18 Retail'!$BC$5)*1000</f>
        <v>233762.93687872999</v>
      </c>
      <c r="BD61" s="35">
        <f>SUMIFS('Fin Forecast'!$R$3:$R$600,'Fin Forecast'!$B$3:$B$600,'Jul17-Jun18 Retail'!$E61,'Fin Forecast'!$C$3:$C$600,'Jul17-Jun18 Retail'!$BD$5)*1000</f>
        <v>16882813.965710402</v>
      </c>
      <c r="BE61" s="35"/>
      <c r="BF61" s="35"/>
      <c r="BG61" s="35">
        <f>SUMIFS('Fin Forecast'!$R$3:$R$600,'Fin Forecast'!$B$3:$B$600,'Jul17-Jun18 Retail'!$E61,'Fin Forecast'!$C$3:$C$600,'Jul17-Jun18 Retail'!$BG$5)*1000</f>
        <v>4015872</v>
      </c>
      <c r="BH61" s="35">
        <f>SUMIFS('Fin Forecast'!$R$3:$R$600,'Fin Forecast'!$B$3:$B$600,'Jul17-Jun18 Retail'!$E61,'Fin Forecast'!$C$3:$C$600,'Jul17-Jun18 Retail'!$BH$5)*1000</f>
        <v>10389210.3878351</v>
      </c>
      <c r="BI61" s="35">
        <f>SUMIFS('Fin Forecast'!$R$3:$R$600,'Fin Forecast'!$B$3:$B$600,'Jul17-Jun18 Retail'!$E61,'Fin Forecast'!$C$3:$C$600,'Jul17-Jun18 Retail'!$BI$5)*1000</f>
        <v>0</v>
      </c>
      <c r="BJ61" s="35">
        <f>SUMIFS('Fin Forecast'!$R$3:$R$600,'Fin Forecast'!$B$3:$B$600,'Jul17-Jun18 Retail'!$E61,'Fin Forecast'!$C$3:$C$600,'Jul17-Jun18 Retail'!$BJ$5)*1000</f>
        <v>2023813.03020924</v>
      </c>
      <c r="BL61" s="44">
        <f t="shared" ca="1" si="221"/>
        <v>-6.3347071409225464E-4</v>
      </c>
      <c r="BN61" s="49">
        <f t="shared" ca="1" si="222"/>
        <v>0</v>
      </c>
      <c r="BO61" s="49">
        <f t="shared" ca="1" si="223"/>
        <v>-2.166256308555603E-4</v>
      </c>
      <c r="BP61" s="49">
        <f t="shared" si="224"/>
        <v>0</v>
      </c>
    </row>
    <row r="62" spans="1:68" s="323" customFormat="1" ht="15" x14ac:dyDescent="0.25">
      <c r="C62" s="324"/>
      <c r="D62" s="362"/>
      <c r="E62" s="362"/>
      <c r="F62" s="324"/>
      <c r="G62" s="324"/>
      <c r="H62" s="325"/>
      <c r="N62" s="326"/>
      <c r="O62" s="326"/>
      <c r="P62" s="327"/>
      <c r="Q62" s="327"/>
      <c r="R62" s="327"/>
      <c r="S62" s="326"/>
      <c r="T62" s="327"/>
      <c r="U62" s="327"/>
      <c r="V62" s="328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30"/>
      <c r="AH62" s="330"/>
      <c r="AI62" s="329"/>
      <c r="AJ62" s="329"/>
      <c r="AK62" s="329"/>
      <c r="AL62" s="329"/>
      <c r="AM62" s="329"/>
      <c r="AN62" s="329"/>
      <c r="AO62" s="329"/>
      <c r="AP62" s="341"/>
      <c r="AQ62" s="341"/>
      <c r="AR62" s="341"/>
      <c r="AS62" s="341"/>
      <c r="AT62" s="329"/>
      <c r="AU62" s="329"/>
      <c r="AV62" s="329"/>
      <c r="AW62" s="329"/>
      <c r="AX62" s="329"/>
      <c r="AY62" s="329"/>
      <c r="AZ62" s="329"/>
      <c r="BA62" s="329"/>
      <c r="BB62" s="331"/>
      <c r="BC62" s="341"/>
      <c r="BD62" s="341"/>
      <c r="BE62" s="341"/>
      <c r="BF62" s="341"/>
      <c r="BG62" s="341"/>
      <c r="BH62" s="341"/>
      <c r="BI62" s="341"/>
      <c r="BJ62" s="341"/>
      <c r="BL62" s="329"/>
      <c r="BN62" s="329"/>
      <c r="BO62" s="329"/>
      <c r="BP62" s="329"/>
    </row>
    <row r="63" spans="1:68" ht="15" x14ac:dyDescent="0.25">
      <c r="C63" s="6">
        <f>C61+1</f>
        <v>49</v>
      </c>
      <c r="D63" s="361">
        <f>EDATE(D56,1)</f>
        <v>43160</v>
      </c>
      <c r="E63" s="361" t="str">
        <f>+'Retail Rates'!$B$7</f>
        <v>LGCMG865</v>
      </c>
      <c r="F63" s="6" t="str">
        <f>MID(E63,6,3)</f>
        <v>865</v>
      </c>
      <c r="G63" s="6" t="str">
        <f>VLOOKUP(E63,'Retail Rates'!$B$7:$D$34,3,FALSE)</f>
        <v>AAGS-C</v>
      </c>
      <c r="H63" s="25">
        <f>SUMIF('Forcasted Customer Cts'!$D$5:$D$36,'Jul17-Jun18 Retail'!$E63,'Forcasted Customer Cts'!$X$5:$X$36)</f>
        <v>4</v>
      </c>
      <c r="I63" s="25"/>
      <c r="J63" s="25"/>
      <c r="K63" s="25">
        <f>SUMIF('Forecasted Calendar Month Usage'!$D$5:$D$41,'Jul17-Jun18 Retail'!$E63,'Forecasted Calendar Month Usage'!$AF$5:$AF$41)*10</f>
        <v>71783.327891545632</v>
      </c>
      <c r="L63" s="25"/>
      <c r="M63" s="25"/>
      <c r="N63" s="26">
        <f>VLOOKUP($E63,'Retail Rates'!$B$7:$L$34,5,FALSE)</f>
        <v>400</v>
      </c>
      <c r="O63" s="26">
        <f>VLOOKUP($E63,'Retail Rates'!$B$7:$L$34,6,FALSE)</f>
        <v>0</v>
      </c>
      <c r="P63" s="27">
        <f>VLOOKUP($E63,'Retail Rates'!$B$7:$L$34,7,FALSE)</f>
        <v>7.009E-2</v>
      </c>
      <c r="Q63" s="27">
        <f>VLOOKUP($E63,'Retail Rates'!$B$7:$L$34,8,FALSE)</f>
        <v>0</v>
      </c>
      <c r="R63" s="27"/>
      <c r="S63" s="26">
        <f>VLOOKUP($E63,'Retail Rates'!$B$7:$L$34,9,FALSE)</f>
        <v>0</v>
      </c>
      <c r="T63" s="27">
        <f>VLOOKUP($E63,'Retail Rates'!$B$7:$L$34,10,FALSE)</f>
        <v>0</v>
      </c>
      <c r="U63" s="26">
        <f>VLOOKUP($E63,'Retail Rates'!$B$7:$L$34,11,FALSE)</f>
        <v>0</v>
      </c>
      <c r="V63" s="309"/>
      <c r="W63" s="28">
        <f t="shared" ref="W63:W68" si="236">(+H63*N63)+(I63*N63)</f>
        <v>1600</v>
      </c>
      <c r="X63" s="28"/>
      <c r="Y63" s="28"/>
      <c r="Z63" s="28">
        <f t="shared" ref="Z63:Z68" si="237">+K63*P63</f>
        <v>5031.2934519184337</v>
      </c>
      <c r="AA63" s="28">
        <f t="shared" ref="AA63:AA68" si="238">+L63*Q63</f>
        <v>0</v>
      </c>
      <c r="AB63" s="28">
        <f t="shared" ref="AB63:AB68" si="239">SUM(K63:L63)*R63</f>
        <v>0</v>
      </c>
      <c r="AC63" s="28"/>
      <c r="AD63" s="28"/>
      <c r="AE63" s="28">
        <f>M63*U63</f>
        <v>0</v>
      </c>
      <c r="AF63" s="28">
        <f t="shared" ref="AF63:AF66" si="240">(+H63*V63)+(I63*V63)</f>
        <v>0</v>
      </c>
      <c r="AG63" s="48">
        <f ca="1">SUMIFS(Adjustments!H$5:H$557,Adjustments!$B$5:$B$557,'Jul17-Jun18 Retail'!$D63,Adjustments!$C$5:$C$557,'Jul17-Jun18 Retail'!$E63)</f>
        <v>0</v>
      </c>
      <c r="AH63" s="48">
        <f ca="1">SUMIFS(Adjustments!I$5:I$557,Adjustments!$B$5:$B$557,'Jul17-Jun18 Retail'!$D63,Adjustments!$C$5:$C$557,'Jul17-Jun18 Retail'!$E63)</f>
        <v>0</v>
      </c>
      <c r="AI63" s="40">
        <f ca="1">SUMIFS(Adjustments!J$5:J$557,Adjustments!$B$5:$B$557,'Jul17-Jun18 Retail'!$D63,Adjustments!$C$5:$C$557,'Jul17-Jun18 Retail'!$E63)</f>
        <v>0</v>
      </c>
      <c r="AJ63" s="40">
        <f ca="1">SUMIFS(Adjustments!K$5:K$557,Adjustments!$B$5:$B$557,'Jul17-Jun18 Retail'!$D63,Adjustments!$C$5:$C$557,'Jul17-Jun18 Retail'!$E63)</f>
        <v>0</v>
      </c>
      <c r="AK63" s="40">
        <f ca="1">SUMIFS(Adjustments!L$5:L$557,Adjustments!$B$5:$B$557,'Jul17-Jun18 Retail'!$D63,Adjustments!$C$5:$C$557,'Jul17-Jun18 Retail'!$E63)</f>
        <v>0</v>
      </c>
      <c r="AL63" s="40">
        <f ca="1">SUMIFS(Adjustments!M$5:M$557,Adjustments!$B$5:$B$557,'Jul17-Jun18 Retail'!$D63,Adjustments!$C$5:$C$557,'Jul17-Jun18 Retail'!$E63)</f>
        <v>0</v>
      </c>
      <c r="AM63" s="40">
        <f ca="1">SUMIFS(Adjustments!N$5:N$557,Adjustments!$B$5:$B$557,'Jul17-Jun18 Retail'!$D63,Adjustments!$C$5:$C$557,'Jul17-Jun18 Retail'!$E63)</f>
        <v>0</v>
      </c>
      <c r="AN63" s="40">
        <f ca="1">SUMIFS(Adjustments!O$5:O$557,Adjustments!$B$5:$B$557,'Jul17-Jun18 Retail'!$D63,Adjustments!$C$5:$C$557,'Jul17-Jun18 Retail'!$E63)</f>
        <v>0</v>
      </c>
      <c r="AO63" s="40">
        <f ca="1">SUMIFS(Adjustments!P$5:P$557,Adjustments!$B$5:$B$557,'Jul17-Jun18 Retail'!$D63,Adjustments!$C$5:$C$557,'Jul17-Jun18 Retail'!$E63)</f>
        <v>0</v>
      </c>
      <c r="AP63" s="28">
        <f t="shared" ref="AP63:AP67" ca="1" si="241">+W63+AI63+(AG63*N63)</f>
        <v>1600</v>
      </c>
      <c r="AQ63" s="28">
        <f t="shared" ref="AQ63:AQ68" ca="1" si="242">+Y63+AJ63</f>
        <v>0</v>
      </c>
      <c r="AR63" s="28">
        <f t="shared" ref="AR63:AR68" ca="1" si="243">+Z63+AK63</f>
        <v>5031.2934519184337</v>
      </c>
      <c r="AS63" s="28">
        <f t="shared" ref="AS63:AS68" ca="1" si="244">+AA63+AL63</f>
        <v>0</v>
      </c>
      <c r="AT63" s="35">
        <f t="shared" ref="AT63:AT68" si="245">BD63</f>
        <v>37368.148955993835</v>
      </c>
      <c r="AU63" s="35">
        <f t="shared" ref="AU63:AU68" si="246">BC63</f>
        <v>603.74400034737198</v>
      </c>
      <c r="AV63" s="35"/>
      <c r="AW63" s="35">
        <f t="shared" ref="AW63:AW68" si="247">BJ63</f>
        <v>17089.111428560693</v>
      </c>
      <c r="AX63" s="28">
        <f t="shared" ref="AX63:AX68" ca="1" si="248">+AE63+AO63</f>
        <v>0</v>
      </c>
      <c r="AY63" s="28"/>
      <c r="AZ63" s="35">
        <f t="shared" ref="AZ63:AZ64" ca="1" si="249">ROUND(SUM(AP63:AY63),2)</f>
        <v>61692.3</v>
      </c>
      <c r="BA63" s="35">
        <f>SUM(BC63:BJ63)-BF63</f>
        <v>61692.297836992351</v>
      </c>
      <c r="BB63" s="36">
        <f t="shared" ref="BB63:BB68" ca="1" si="250">IF(BA63=0,0,ROUND(BA63/AZ63,6))</f>
        <v>1</v>
      </c>
      <c r="BC63" s="35">
        <f>SUMIFS('Fin Forecast'!$S$3:$S$600,'Fin Forecast'!$B$3:$B$600,'Jul17-Jun18 Retail'!$E63,'Fin Forecast'!$C$3:$C$600,'Jul17-Jun18 Retail'!$BC$5)*1000</f>
        <v>603.74400034737198</v>
      </c>
      <c r="BD63" s="35">
        <f>SUMIFS('Fin Forecast'!$S$3:$S$600,'Fin Forecast'!$B$3:$B$600,'Jul17-Jun18 Retail'!$E63,'Fin Forecast'!$C$3:$C$600,'Jul17-Jun18 Retail'!$BD$5)*1000</f>
        <v>37368.148955993835</v>
      </c>
      <c r="BE63" s="35"/>
      <c r="BF63" s="35"/>
      <c r="BG63" s="35">
        <f>SUMIFS('Fin Forecast'!$S$3:$S$600,'Fin Forecast'!$B$3:$B$600,'Jul17-Jun18 Retail'!$E63,'Fin Forecast'!$C$3:$C$600,'Jul17-Jun18 Retail'!$BG$5)*1000</f>
        <v>1600</v>
      </c>
      <c r="BH63" s="35">
        <f>SUMIFS('Fin Forecast'!$S$3:$S$600,'Fin Forecast'!$B$3:$B$600,'Jul17-Jun18 Retail'!$E63,'Fin Forecast'!$C$3:$C$600,'Jul17-Jun18 Retail'!$BH$5)*1000</f>
        <v>5031.2934520904491</v>
      </c>
      <c r="BI63" s="35">
        <f>SUMIFS('Fin Forecast'!$S$3:$S$600,'Fin Forecast'!$B$3:$B$600,'Jul17-Jun18 Retail'!$E63,'Fin Forecast'!$C$3:$C$600,'Jul17-Jun18 Retail'!$BI$5)*1000</f>
        <v>0</v>
      </c>
      <c r="BJ63" s="35">
        <f>SUMIFS('Fin Forecast'!$S$3:$S$600,'Fin Forecast'!$B$3:$B$600,'Jul17-Jun18 Retail'!$E63,'Fin Forecast'!$C$3:$C$600,'Jul17-Jun18 Retail'!$BJ$5)*1000</f>
        <v>17089.111428560693</v>
      </c>
      <c r="BL63" s="44">
        <f t="shared" ref="BL63:BL68" ca="1" si="251">+AZ63-BA63</f>
        <v>2.163007651688531E-3</v>
      </c>
      <c r="BN63" s="49">
        <f t="shared" ref="BN63:BN68" ca="1" si="252">+AP63+AQ63-BG63</f>
        <v>0</v>
      </c>
      <c r="BO63" s="49">
        <f t="shared" ref="BO63:BO68" ca="1" si="253">+AR63+AS63-BH63</f>
        <v>-1.7201546143041924E-7</v>
      </c>
      <c r="BP63" s="49">
        <f t="shared" ref="BP63:BP68" si="254">+AT63-BD63</f>
        <v>0</v>
      </c>
    </row>
    <row r="64" spans="1:68" ht="15" x14ac:dyDescent="0.25">
      <c r="C64" s="6">
        <f>C63+1</f>
        <v>50</v>
      </c>
      <c r="D64" s="361">
        <f>$D$63</f>
        <v>43160</v>
      </c>
      <c r="E64" s="361" t="str">
        <f>+'Retail Rates'!$B$10</f>
        <v>LGING866</v>
      </c>
      <c r="F64" s="6" t="str">
        <f t="shared" ref="F64:F68" si="255">MID(E64,6,3)</f>
        <v>866</v>
      </c>
      <c r="G64" s="6" t="str">
        <f>VLOOKUP(E64,'Retail Rates'!$B$7:$D$34,3,FALSE)</f>
        <v>AAGS-I</v>
      </c>
      <c r="H64" s="25">
        <f>SUMIF('Forcasted Customer Cts'!$D$5:$D$36,'Jul17-Jun18 Retail'!$E64,'Forcasted Customer Cts'!$X$5:$X$36)</f>
        <v>0</v>
      </c>
      <c r="I64" s="25"/>
      <c r="J64" s="25"/>
      <c r="K64" s="25">
        <f>SUMIF('Forecasted Calendar Month Usage'!$D$5:$D$41,'Jul17-Jun18 Retail'!$E64,'Forecasted Calendar Month Usage'!$AF$5:$AF$41)*10</f>
        <v>0</v>
      </c>
      <c r="L64" s="25"/>
      <c r="M64" s="25"/>
      <c r="N64" s="26">
        <f>VLOOKUP($E64,'Retail Rates'!$B$7:$L$34,5,FALSE)</f>
        <v>400</v>
      </c>
      <c r="O64" s="26">
        <f>VLOOKUP($E64,'Retail Rates'!$B$7:$L$34,6,FALSE)</f>
        <v>0</v>
      </c>
      <c r="P64" s="27">
        <f>VLOOKUP($E64,'Retail Rates'!$B$7:$L$34,7,FALSE)</f>
        <v>7.009E-2</v>
      </c>
      <c r="Q64" s="27">
        <f>VLOOKUP($E64,'Retail Rates'!$B$7:$L$34,8,FALSE)</f>
        <v>0</v>
      </c>
      <c r="R64" s="27"/>
      <c r="S64" s="26">
        <f>VLOOKUP($E64,'Retail Rates'!$B$7:$L$34,9,FALSE)</f>
        <v>0</v>
      </c>
      <c r="T64" s="27">
        <f>VLOOKUP($E64,'Retail Rates'!$B$7:$L$34,10,FALSE)</f>
        <v>0</v>
      </c>
      <c r="U64" s="26">
        <f>VLOOKUP($E64,'Retail Rates'!$B$7:$L$34,11,FALSE)</f>
        <v>0</v>
      </c>
      <c r="V64" s="309"/>
      <c r="W64" s="28">
        <f t="shared" si="236"/>
        <v>0</v>
      </c>
      <c r="X64" s="28"/>
      <c r="Y64" s="28"/>
      <c r="Z64" s="28">
        <f t="shared" si="237"/>
        <v>0</v>
      </c>
      <c r="AA64" s="28">
        <f t="shared" si="238"/>
        <v>0</v>
      </c>
      <c r="AB64" s="28">
        <f t="shared" si="239"/>
        <v>0</v>
      </c>
      <c r="AC64" s="28"/>
      <c r="AD64" s="28"/>
      <c r="AE64" s="28">
        <f t="shared" ref="AE64:AE68" si="256">M64*U64</f>
        <v>0</v>
      </c>
      <c r="AF64" s="28">
        <f t="shared" si="240"/>
        <v>0</v>
      </c>
      <c r="AG64" s="48">
        <f ca="1">SUMIFS(Adjustments!H$5:H$557,Adjustments!$B$5:$B$557,'Jul17-Jun18 Retail'!$D64,Adjustments!$C$5:$C$557,'Jul17-Jun18 Retail'!$E64)</f>
        <v>0</v>
      </c>
      <c r="AH64" s="48">
        <f ca="1">SUMIFS(Adjustments!I$5:I$557,Adjustments!$B$5:$B$557,'Jul17-Jun18 Retail'!$D64,Adjustments!$C$5:$C$557,'Jul17-Jun18 Retail'!$E64)</f>
        <v>0</v>
      </c>
      <c r="AI64" s="40">
        <f ca="1">SUMIFS(Adjustments!J$5:J$557,Adjustments!$B$5:$B$557,'Jul17-Jun18 Retail'!$D64,Adjustments!$C$5:$C$557,'Jul17-Jun18 Retail'!$E64)</f>
        <v>0</v>
      </c>
      <c r="AJ64" s="40">
        <f ca="1">SUMIFS(Adjustments!K$5:K$557,Adjustments!$B$5:$B$557,'Jul17-Jun18 Retail'!$D64,Adjustments!$C$5:$C$557,'Jul17-Jun18 Retail'!$E64)</f>
        <v>0</v>
      </c>
      <c r="AK64" s="40">
        <f ca="1">SUMIFS(Adjustments!L$5:L$557,Adjustments!$B$5:$B$557,'Jul17-Jun18 Retail'!$D64,Adjustments!$C$5:$C$557,'Jul17-Jun18 Retail'!$E64)</f>
        <v>0</v>
      </c>
      <c r="AL64" s="40">
        <f ca="1">SUMIFS(Adjustments!M$5:M$557,Adjustments!$B$5:$B$557,'Jul17-Jun18 Retail'!$D64,Adjustments!$C$5:$C$557,'Jul17-Jun18 Retail'!$E64)</f>
        <v>0</v>
      </c>
      <c r="AM64" s="40">
        <f ca="1">SUMIFS(Adjustments!N$5:N$557,Adjustments!$B$5:$B$557,'Jul17-Jun18 Retail'!$D64,Adjustments!$C$5:$C$557,'Jul17-Jun18 Retail'!$E64)</f>
        <v>0</v>
      </c>
      <c r="AN64" s="40">
        <f ca="1">SUMIFS(Adjustments!O$5:O$557,Adjustments!$B$5:$B$557,'Jul17-Jun18 Retail'!$D64,Adjustments!$C$5:$C$557,'Jul17-Jun18 Retail'!$E64)</f>
        <v>0</v>
      </c>
      <c r="AO64" s="40">
        <f ca="1">SUMIFS(Adjustments!P$5:P$557,Adjustments!$B$5:$B$557,'Jul17-Jun18 Retail'!$D64,Adjustments!$C$5:$C$557,'Jul17-Jun18 Retail'!$E64)</f>
        <v>0</v>
      </c>
      <c r="AP64" s="28">
        <f t="shared" ca="1" si="241"/>
        <v>0</v>
      </c>
      <c r="AQ64" s="28">
        <f t="shared" ca="1" si="242"/>
        <v>0</v>
      </c>
      <c r="AR64" s="28">
        <f t="shared" ca="1" si="243"/>
        <v>0</v>
      </c>
      <c r="AS64" s="28">
        <f t="shared" ca="1" si="244"/>
        <v>0</v>
      </c>
      <c r="AT64" s="35">
        <f t="shared" si="245"/>
        <v>0</v>
      </c>
      <c r="AU64" s="35">
        <f t="shared" si="246"/>
        <v>0</v>
      </c>
      <c r="AV64" s="35"/>
      <c r="AW64" s="35">
        <f t="shared" si="247"/>
        <v>0</v>
      </c>
      <c r="AX64" s="28">
        <f t="shared" ca="1" si="248"/>
        <v>0</v>
      </c>
      <c r="AY64" s="28"/>
      <c r="AZ64" s="35">
        <f t="shared" ca="1" si="249"/>
        <v>0</v>
      </c>
      <c r="BA64" s="35">
        <f t="shared" ref="BA64" si="257">SUM(BC64:BJ64)-BF64</f>
        <v>0</v>
      </c>
      <c r="BB64" s="36">
        <f t="shared" si="250"/>
        <v>0</v>
      </c>
      <c r="BC64" s="35">
        <f>SUMIFS('Fin Forecast'!$S$3:$S$600,'Fin Forecast'!$B$3:$B$600,'Jul17-Jun18 Retail'!$E64,'Fin Forecast'!$C$3:$C$600,'Jul17-Jun18 Retail'!$BC$5)*1000</f>
        <v>0</v>
      </c>
      <c r="BD64" s="35">
        <f>SUMIFS('Fin Forecast'!$S$3:$S$600,'Fin Forecast'!$B$3:$B$600,'Jul17-Jun18 Retail'!$E64,'Fin Forecast'!$C$3:$C$600,'Jul17-Jun18 Retail'!$BD$5)*1000</f>
        <v>0</v>
      </c>
      <c r="BE64" s="35"/>
      <c r="BF64" s="35"/>
      <c r="BG64" s="35">
        <f>SUMIFS('Fin Forecast'!$S$3:$S$600,'Fin Forecast'!$B$3:$B$600,'Jul17-Jun18 Retail'!$E64,'Fin Forecast'!$C$3:$C$600,'Jul17-Jun18 Retail'!$BG$5)*1000</f>
        <v>0</v>
      </c>
      <c r="BH64" s="35">
        <f>SUMIFS('Fin Forecast'!$S$3:$S$600,'Fin Forecast'!$B$3:$B$600,'Jul17-Jun18 Retail'!$E64,'Fin Forecast'!$C$3:$C$600,'Jul17-Jun18 Retail'!$BH$5)*1000</f>
        <v>0</v>
      </c>
      <c r="BI64" s="35">
        <f>SUMIFS('Fin Forecast'!$S$3:$S$600,'Fin Forecast'!$B$3:$B$600,'Jul17-Jun18 Retail'!$E64,'Fin Forecast'!$C$3:$C$600,'Jul17-Jun18 Retail'!$BI$5)*1000</f>
        <v>0</v>
      </c>
      <c r="BJ64" s="35">
        <f>SUMIFS('Fin Forecast'!$S$3:$S$600,'Fin Forecast'!$B$3:$B$600,'Jul17-Jun18 Retail'!$E64,'Fin Forecast'!$C$3:$C$600,'Jul17-Jun18 Retail'!$BJ$5)*1000</f>
        <v>0</v>
      </c>
      <c r="BL64" s="44">
        <f t="shared" ca="1" si="251"/>
        <v>0</v>
      </c>
      <c r="BN64" s="49">
        <f t="shared" ca="1" si="252"/>
        <v>0</v>
      </c>
      <c r="BO64" s="49">
        <f t="shared" ca="1" si="253"/>
        <v>0</v>
      </c>
      <c r="BP64" s="49">
        <f t="shared" si="254"/>
        <v>0</v>
      </c>
    </row>
    <row r="65" spans="1:68" ht="15" x14ac:dyDescent="0.25">
      <c r="A65" s="304" t="s">
        <v>443</v>
      </c>
      <c r="B65" s="304" t="s">
        <v>444</v>
      </c>
      <c r="C65" s="6">
        <f t="shared" ref="C65:C68" si="258">C64+1</f>
        <v>51</v>
      </c>
      <c r="D65" s="361">
        <f>$D$63</f>
        <v>43160</v>
      </c>
      <c r="E65" s="361" t="str">
        <f>+'Retail Rates'!$B$15</f>
        <v>LGCMG851</v>
      </c>
      <c r="F65" s="6" t="str">
        <f t="shared" si="255"/>
        <v>851</v>
      </c>
      <c r="G65" s="6" t="str">
        <f>VLOOKUP(E65,'Retail Rates'!$B$7:$D$34,3,FALSE)</f>
        <v>CGS</v>
      </c>
      <c r="H65" s="25"/>
      <c r="I65" s="25">
        <f>SUMIFS('Forcasted Customer Cts'!$X$5:$X$36,'Forcasted Customer Cts'!$D$5:$D$36,'Jul17-Jun18 Retail'!$E65,'Forcasted Customer Cts'!$C$5:$C$36,'Jul17-Jun18 Retail'!$A$9)</f>
        <v>24222</v>
      </c>
      <c r="J65" s="25">
        <f>SUMIFS('Forcasted Customer Cts'!$X$5:$X$36,'Forcasted Customer Cts'!$D$5:$D$36,'Jul17-Jun18 Retail'!$E65,'Forcasted Customer Cts'!$C$5:$C$36,'Jul17-Jun18 Retail'!$B$9)</f>
        <v>1009</v>
      </c>
      <c r="K65" s="25">
        <f>SUMIF('Forecasted Calendar Month Usage'!$D$5:$D$41,'Jul17-Jun18 Retail'!$E65,'Forecasted Calendar Month Usage'!$AF$5:$AF$41)*10</f>
        <v>12393450.482742919</v>
      </c>
      <c r="L65" s="25"/>
      <c r="M65" s="25"/>
      <c r="N65" s="26">
        <f>VLOOKUP($E65,'Retail Rates'!$B$7:$L$34,5,FALSE)</f>
        <v>40</v>
      </c>
      <c r="O65" s="26">
        <f>VLOOKUP($E65,'Retail Rates'!$B$7:$L$34,6,FALSE)</f>
        <v>180</v>
      </c>
      <c r="P65" s="27">
        <f>VLOOKUP($E65,'Retail Rates'!$B$7:$L$34,7,FALSE)</f>
        <v>0.21504000000000001</v>
      </c>
      <c r="Q65" s="27">
        <f>VLOOKUP($E65,'Retail Rates'!$B$7:$L$34,8,FALSE)</f>
        <v>0.16504000000000002</v>
      </c>
      <c r="R65" s="27"/>
      <c r="S65" s="26">
        <f>VLOOKUP($E65,'Retail Rates'!$B$7:$L$34,9,FALSE)</f>
        <v>0</v>
      </c>
      <c r="T65" s="27">
        <f>VLOOKUP($E65,'Retail Rates'!$B$7:$L$34,10,FALSE)</f>
        <v>0</v>
      </c>
      <c r="U65" s="26">
        <f>VLOOKUP($E65,'Retail Rates'!$B$7:$L$34,11,FALSE)</f>
        <v>0</v>
      </c>
      <c r="V65" s="309"/>
      <c r="W65" s="28">
        <f t="shared" si="236"/>
        <v>968880</v>
      </c>
      <c r="X65" s="28"/>
      <c r="Y65" s="28">
        <f>+J65*O65</f>
        <v>181620</v>
      </c>
      <c r="Z65" s="28">
        <f t="shared" si="237"/>
        <v>2665087.5918090371</v>
      </c>
      <c r="AA65" s="28">
        <f t="shared" si="238"/>
        <v>0</v>
      </c>
      <c r="AB65" s="28">
        <f t="shared" si="239"/>
        <v>0</v>
      </c>
      <c r="AC65" s="28"/>
      <c r="AD65" s="28"/>
      <c r="AE65" s="28">
        <f t="shared" si="256"/>
        <v>0</v>
      </c>
      <c r="AF65" s="28">
        <f t="shared" si="240"/>
        <v>0</v>
      </c>
      <c r="AG65" s="48">
        <f ca="1">SUMIFS(Adjustments!H$5:H$557,Adjustments!$B$5:$B$557,'Jul17-Jun18 Retail'!$D65,Adjustments!$C$5:$C$557,'Jul17-Jun18 Retail'!$E65)</f>
        <v>0</v>
      </c>
      <c r="AH65" s="48">
        <f ca="1">SUMIFS(Adjustments!I$5:I$557,Adjustments!$B$5:$B$557,'Jul17-Jun18 Retail'!$D65,Adjustments!$C$5:$C$557,'Jul17-Jun18 Retail'!$E65)</f>
        <v>0</v>
      </c>
      <c r="AI65" s="40">
        <f ca="1">SUMIFS(Adjustments!J$5:J$557,Adjustments!$B$5:$B$557,'Jul17-Jun18 Retail'!$D65,Adjustments!$C$5:$C$557,'Jul17-Jun18 Retail'!$E65)</f>
        <v>0</v>
      </c>
      <c r="AJ65" s="40">
        <f ca="1">SUMIFS(Adjustments!K$5:K$557,Adjustments!$B$5:$B$557,'Jul17-Jun18 Retail'!$D65,Adjustments!$C$5:$C$557,'Jul17-Jun18 Retail'!$E65)</f>
        <v>0</v>
      </c>
      <c r="AK65" s="40">
        <f ca="1">SUMIFS(Adjustments!L$5:L$557,Adjustments!$B$5:$B$557,'Jul17-Jun18 Retail'!$D65,Adjustments!$C$5:$C$557,'Jul17-Jun18 Retail'!$E65)</f>
        <v>0</v>
      </c>
      <c r="AL65" s="40">
        <f ca="1">SUMIFS(Adjustments!M$5:M$557,Adjustments!$B$5:$B$557,'Jul17-Jun18 Retail'!$D65,Adjustments!$C$5:$C$557,'Jul17-Jun18 Retail'!$E65)</f>
        <v>0</v>
      </c>
      <c r="AM65" s="40">
        <f ca="1">SUMIFS(Adjustments!N$5:N$557,Adjustments!$B$5:$B$557,'Jul17-Jun18 Retail'!$D65,Adjustments!$C$5:$C$557,'Jul17-Jun18 Retail'!$E65)</f>
        <v>0</v>
      </c>
      <c r="AN65" s="40">
        <f ca="1">SUMIFS(Adjustments!O$5:O$557,Adjustments!$B$5:$B$557,'Jul17-Jun18 Retail'!$D65,Adjustments!$C$5:$C$557,'Jul17-Jun18 Retail'!$E65)</f>
        <v>0</v>
      </c>
      <c r="AO65" s="40">
        <f ca="1">SUMIFS(Adjustments!P$5:P$557,Adjustments!$B$5:$B$557,'Jul17-Jun18 Retail'!$D65,Adjustments!$C$5:$C$557,'Jul17-Jun18 Retail'!$E65)</f>
        <v>0</v>
      </c>
      <c r="AP65" s="28">
        <f t="shared" ca="1" si="241"/>
        <v>968880</v>
      </c>
      <c r="AQ65" s="28">
        <f t="shared" ca="1" si="242"/>
        <v>181620</v>
      </c>
      <c r="AR65" s="28">
        <f t="shared" ca="1" si="243"/>
        <v>2665087.5918090371</v>
      </c>
      <c r="AS65" s="28">
        <f t="shared" ca="1" si="244"/>
        <v>0</v>
      </c>
      <c r="AT65" s="35">
        <f t="shared" si="245"/>
        <v>6451641.5900745047</v>
      </c>
      <c r="AU65" s="35">
        <f t="shared" si="246"/>
        <v>136210.88190776721</v>
      </c>
      <c r="AV65" s="35"/>
      <c r="AW65" s="35">
        <f t="shared" si="247"/>
        <v>878961.20161108195</v>
      </c>
      <c r="AX65" s="28">
        <f t="shared" ca="1" si="248"/>
        <v>0</v>
      </c>
      <c r="AY65" s="28"/>
      <c r="AZ65" s="35">
        <f t="shared" ref="AZ65:AZ67" ca="1" si="259">ROUND(SUM(AP65:AY65),2)</f>
        <v>11282401.27</v>
      </c>
      <c r="BA65" s="35">
        <f t="shared" ref="BA65:BA67" si="260">SUM(BC65:BJ65)-BF65</f>
        <v>11282401.265385194</v>
      </c>
      <c r="BB65" s="36">
        <f t="shared" ca="1" si="250"/>
        <v>1</v>
      </c>
      <c r="BC65" s="35">
        <f>SUMIFS('Fin Forecast'!$S$3:$S$600,'Fin Forecast'!$B$3:$B$600,'Jul17-Jun18 Retail'!$E65,'Fin Forecast'!$C$3:$C$600,'Jul17-Jun18 Retail'!$BC$5)*1000</f>
        <v>136210.88190776721</v>
      </c>
      <c r="BD65" s="35">
        <f>SUMIFS('Fin Forecast'!$S$3:$S$600,'Fin Forecast'!$B$3:$B$600,'Jul17-Jun18 Retail'!$E65,'Fin Forecast'!$C$3:$C$600,'Jul17-Jun18 Retail'!$BD$5)*1000</f>
        <v>6451641.5900745047</v>
      </c>
      <c r="BE65" s="35"/>
      <c r="BF65" s="35"/>
      <c r="BG65" s="35">
        <f>SUMIFS('Fin Forecast'!$S$3:$S$600,'Fin Forecast'!$B$3:$B$600,'Jul17-Jun18 Retail'!$E65,'Fin Forecast'!$C$3:$C$600,'Jul17-Jun18 Retail'!$BG$5)*1000</f>
        <v>1150500</v>
      </c>
      <c r="BH65" s="35">
        <f>SUMIFS('Fin Forecast'!$S$3:$S$600,'Fin Forecast'!$B$3:$B$600,'Jul17-Jun18 Retail'!$E65,'Fin Forecast'!$C$3:$C$600,'Jul17-Jun18 Retail'!$BH$5)*1000</f>
        <v>2665087.5917918412</v>
      </c>
      <c r="BI65" s="35">
        <f>SUMIFS('Fin Forecast'!$S$3:$S$600,'Fin Forecast'!$B$3:$B$600,'Jul17-Jun18 Retail'!$E65,'Fin Forecast'!$C$3:$C$600,'Jul17-Jun18 Retail'!$BI$5)*1000</f>
        <v>0</v>
      </c>
      <c r="BJ65" s="35">
        <f>SUMIFS('Fin Forecast'!$S$3:$S$600,'Fin Forecast'!$B$3:$B$600,'Jul17-Jun18 Retail'!$E65,'Fin Forecast'!$C$3:$C$600,'Jul17-Jun18 Retail'!$BJ$5)*1000</f>
        <v>878961.20161108195</v>
      </c>
      <c r="BL65" s="44">
        <f t="shared" ca="1" si="251"/>
        <v>4.6148058027029037E-3</v>
      </c>
      <c r="BN65" s="49">
        <f t="shared" ca="1" si="252"/>
        <v>0</v>
      </c>
      <c r="BO65" s="49">
        <f t="shared" ca="1" si="253"/>
        <v>1.7195940017700195E-5</v>
      </c>
      <c r="BP65" s="49">
        <f t="shared" si="254"/>
        <v>0</v>
      </c>
    </row>
    <row r="66" spans="1:68" ht="15" x14ac:dyDescent="0.25">
      <c r="A66" s="304"/>
      <c r="B66" s="304"/>
      <c r="C66" s="6">
        <f t="shared" si="258"/>
        <v>52</v>
      </c>
      <c r="D66" s="361">
        <f>$D$63</f>
        <v>43160</v>
      </c>
      <c r="E66" s="361" t="str">
        <f>+'Retail Rates'!$B$20</f>
        <v>LGCMG875</v>
      </c>
      <c r="F66" s="6" t="str">
        <f t="shared" si="255"/>
        <v>875</v>
      </c>
      <c r="G66" s="6" t="str">
        <f>VLOOKUP(E66,'Retail Rates'!$B$7:$D$34,3,FALSE)</f>
        <v>DGGS-C</v>
      </c>
      <c r="H66" s="25">
        <v>1</v>
      </c>
      <c r="I66" s="25"/>
      <c r="J66" s="25"/>
      <c r="K66" s="25">
        <v>6</v>
      </c>
      <c r="L66" s="25"/>
      <c r="M66" s="25">
        <v>483</v>
      </c>
      <c r="N66" s="26">
        <f>VLOOKUP($E66,'Retail Rates'!$B$7:$L$34,5,FALSE)</f>
        <v>40</v>
      </c>
      <c r="O66" s="26">
        <f>VLOOKUP($E66,'Retail Rates'!$B$7:$L$34,6,FALSE)</f>
        <v>180</v>
      </c>
      <c r="P66" s="27">
        <f>VLOOKUP($E66,'Retail Rates'!$B$7:$L$34,7,FALSE)</f>
        <v>3.329E-2</v>
      </c>
      <c r="Q66" s="27">
        <f>VLOOKUP($E66,'Retail Rates'!$B$7:$L$34,8,FALSE)</f>
        <v>0</v>
      </c>
      <c r="R66" s="27"/>
      <c r="S66" s="26">
        <f>VLOOKUP($E66,'Retail Rates'!$B$7:$L$34,9,FALSE)</f>
        <v>0</v>
      </c>
      <c r="T66" s="27">
        <f>VLOOKUP($E66,'Retail Rates'!$B$7:$L$34,10,FALSE)</f>
        <v>0</v>
      </c>
      <c r="U66" s="403">
        <f>VLOOKUP($E66,'Retail Rates'!$B$7:$L$34,11,FALSE)</f>
        <v>1.1263000000000001</v>
      </c>
      <c r="V66" s="309"/>
      <c r="W66" s="28">
        <f t="shared" si="236"/>
        <v>40</v>
      </c>
      <c r="X66" s="28"/>
      <c r="Y66" s="28"/>
      <c r="Z66" s="28">
        <f t="shared" si="237"/>
        <v>0.19974</v>
      </c>
      <c r="AA66" s="28">
        <f t="shared" si="238"/>
        <v>0</v>
      </c>
      <c r="AB66" s="28">
        <f t="shared" si="239"/>
        <v>0</v>
      </c>
      <c r="AC66" s="28"/>
      <c r="AD66" s="28"/>
      <c r="AE66" s="28">
        <f t="shared" si="256"/>
        <v>544.00290000000007</v>
      </c>
      <c r="AF66" s="28">
        <f t="shared" si="240"/>
        <v>0</v>
      </c>
      <c r="AG66" s="48">
        <f ca="1">SUMIFS(Adjustments!H$5:H$557,Adjustments!$B$5:$B$557,'Jul17-Jun18 Retail'!$D66,Adjustments!$C$5:$C$557,'Jul17-Jun18 Retail'!$E66)</f>
        <v>0</v>
      </c>
      <c r="AH66" s="48">
        <f ca="1">SUMIFS(Adjustments!I$5:I$557,Adjustments!$B$5:$B$557,'Jul17-Jun18 Retail'!$D66,Adjustments!$C$5:$C$557,'Jul17-Jun18 Retail'!$E66)</f>
        <v>0</v>
      </c>
      <c r="AI66" s="40">
        <f ca="1">SUMIFS(Adjustments!J$5:J$557,Adjustments!$B$5:$B$557,'Jul17-Jun18 Retail'!$D66,Adjustments!$C$5:$C$557,'Jul17-Jun18 Retail'!$E66)</f>
        <v>0</v>
      </c>
      <c r="AJ66" s="40">
        <f ca="1">SUMIFS(Adjustments!K$5:K$557,Adjustments!$B$5:$B$557,'Jul17-Jun18 Retail'!$D66,Adjustments!$C$5:$C$557,'Jul17-Jun18 Retail'!$E66)</f>
        <v>0</v>
      </c>
      <c r="AK66" s="40">
        <f ca="1">SUMIFS(Adjustments!L$5:L$557,Adjustments!$B$5:$B$557,'Jul17-Jun18 Retail'!$D66,Adjustments!$C$5:$C$557,'Jul17-Jun18 Retail'!$E66)</f>
        <v>0</v>
      </c>
      <c r="AL66" s="40">
        <f ca="1">SUMIFS(Adjustments!M$5:M$557,Adjustments!$B$5:$B$557,'Jul17-Jun18 Retail'!$D66,Adjustments!$C$5:$C$557,'Jul17-Jun18 Retail'!$E66)</f>
        <v>0</v>
      </c>
      <c r="AM66" s="40">
        <f ca="1">SUMIFS(Adjustments!N$5:N$557,Adjustments!$B$5:$B$557,'Jul17-Jun18 Retail'!$D66,Adjustments!$C$5:$C$557,'Jul17-Jun18 Retail'!$E66)</f>
        <v>0</v>
      </c>
      <c r="AN66" s="40">
        <f ca="1">SUMIFS(Adjustments!O$5:O$557,Adjustments!$B$5:$B$557,'Jul17-Jun18 Retail'!$D66,Adjustments!$C$5:$C$557,'Jul17-Jun18 Retail'!$E66)</f>
        <v>0</v>
      </c>
      <c r="AO66" s="40">
        <f ca="1">SUMIFS(Adjustments!P$5:P$557,Adjustments!$B$5:$B$557,'Jul17-Jun18 Retail'!$D66,Adjustments!$C$5:$C$557,'Jul17-Jun18 Retail'!$E66)</f>
        <v>0</v>
      </c>
      <c r="AP66" s="28">
        <f t="shared" ca="1" si="241"/>
        <v>40</v>
      </c>
      <c r="AQ66" s="28">
        <f t="shared" ca="1" si="242"/>
        <v>0</v>
      </c>
      <c r="AR66" s="28">
        <f t="shared" ca="1" si="243"/>
        <v>0.19974</v>
      </c>
      <c r="AS66" s="28">
        <f t="shared" ca="1" si="244"/>
        <v>0</v>
      </c>
      <c r="AT66" s="35">
        <f t="shared" si="245"/>
        <v>3.1234118048559303</v>
      </c>
      <c r="AU66" s="35">
        <f t="shared" si="246"/>
        <v>6.59433216431424E-2</v>
      </c>
      <c r="AV66" s="35"/>
      <c r="AW66" s="35">
        <f t="shared" si="247"/>
        <v>0</v>
      </c>
      <c r="AX66" s="28">
        <f t="shared" ca="1" si="248"/>
        <v>544.00290000000007</v>
      </c>
      <c r="AY66" s="28"/>
      <c r="AZ66" s="35">
        <f t="shared" ca="1" si="259"/>
        <v>587.39</v>
      </c>
      <c r="BA66" s="35">
        <f t="shared" si="260"/>
        <v>587.39199512649907</v>
      </c>
      <c r="BB66" s="36">
        <f t="shared" ca="1" si="250"/>
        <v>1.000003</v>
      </c>
      <c r="BC66" s="35">
        <f>SUMIFS('Fin Forecast'!$S$3:$S$600,'Fin Forecast'!$B$3:$B$600,'Jul17-Jun18 Retail'!$E66,'Fin Forecast'!$C$3:$C$600,'Jul17-Jun18 Retail'!$BC$5)*1000</f>
        <v>6.59433216431424E-2</v>
      </c>
      <c r="BD66" s="35">
        <f>SUMIFS('Fin Forecast'!$S$3:$S$600,'Fin Forecast'!$B$3:$B$600,'Jul17-Jun18 Retail'!$E66,'Fin Forecast'!$C$3:$C$600,'Jul17-Jun18 Retail'!$BD$5)*1000</f>
        <v>3.1234118048559303</v>
      </c>
      <c r="BE66" s="35"/>
      <c r="BF66" s="35"/>
      <c r="BG66" s="35">
        <f>SUMIFS('Fin Forecast'!$S$3:$S$600,'Fin Forecast'!$B$3:$B$600,'Jul17-Jun18 Retail'!$E66,'Fin Forecast'!$C$3:$C$600,'Jul17-Jun18 Retail'!$BG$5)*1000</f>
        <v>40</v>
      </c>
      <c r="BH66" s="35">
        <f>SUMIFS('Fin Forecast'!$S$3:$S$600,'Fin Forecast'!$B$3:$B$600,'Jul17-Jun18 Retail'!$E66,'Fin Forecast'!$C$3:$C$600,'Jul17-Jun18 Retail'!$BH$5)*1000</f>
        <v>0.199739999999999</v>
      </c>
      <c r="BI66" s="35">
        <f>SUMIFS('Fin Forecast'!$S$3:$S$600,'Fin Forecast'!$B$3:$B$600,'Jul17-Jun18 Retail'!$E66,'Fin Forecast'!$C$3:$C$600,'Jul17-Jun18 Retail'!$BI$5)*1000</f>
        <v>544.00289999999995</v>
      </c>
      <c r="BJ66" s="35">
        <f>SUMIFS('Fin Forecast'!$S$3:$S$600,'Fin Forecast'!$B$3:$B$600,'Jul17-Jun18 Retail'!$E66,'Fin Forecast'!$C$3:$C$600,'Jul17-Jun18 Retail'!$BJ$5)*1000</f>
        <v>0</v>
      </c>
      <c r="BL66" s="44">
        <f t="shared" ca="1" si="251"/>
        <v>-1.9951264990822892E-3</v>
      </c>
      <c r="BN66" s="49">
        <f t="shared" ca="1" si="252"/>
        <v>0</v>
      </c>
      <c r="BO66" s="49">
        <f t="shared" ca="1" si="253"/>
        <v>9.9920072216264089E-16</v>
      </c>
      <c r="BP66" s="49">
        <f t="shared" si="254"/>
        <v>0</v>
      </c>
    </row>
    <row r="67" spans="1:68" ht="15" x14ac:dyDescent="0.25">
      <c r="A67" s="418" t="s">
        <v>637</v>
      </c>
      <c r="C67" s="6">
        <f t="shared" si="258"/>
        <v>53</v>
      </c>
      <c r="D67" s="361">
        <f>$D$63</f>
        <v>43160</v>
      </c>
      <c r="E67" s="361" t="str">
        <f>+'Retail Rates'!$B$26</f>
        <v>LGING855</v>
      </c>
      <c r="F67" s="6" t="str">
        <f t="shared" si="255"/>
        <v>855</v>
      </c>
      <c r="G67" s="6" t="s">
        <v>111</v>
      </c>
      <c r="H67" s="25"/>
      <c r="I67" s="25">
        <f>SUMIFS('Forcasted Customer Cts'!$X$5:$X$36,'Forcasted Customer Cts'!$D$5:$D$36,'Jul17-Jun18 Retail'!$E67,'Forcasted Customer Cts'!$C$5:$C$36,'Jul17-Jun18 Retail'!$A$9)</f>
        <v>147</v>
      </c>
      <c r="J67" s="25">
        <f>SUMIFS('Forcasted Customer Cts'!$X$5:$X$36,'Forcasted Customer Cts'!$D$5:$D$36,'Jul17-Jun18 Retail'!$E67,'Forcasted Customer Cts'!$C$5:$C$36,'Jul17-Jun18 Retail'!$B$9)</f>
        <v>115</v>
      </c>
      <c r="K67" s="25">
        <f>SUMIF('Forecasted Calendar Month Usage'!$D$5:$D$41,'Jul17-Jun18 Retail'!$E67,'Forecasted Calendar Month Usage'!$AF$5:$AF$41)*10</f>
        <v>1315428.4360345544</v>
      </c>
      <c r="L67" s="25"/>
      <c r="M67" s="25"/>
      <c r="N67" s="26">
        <f>VLOOKUP($E67,'Retail Rates'!$B$7:$L$34,5,FALSE)</f>
        <v>40</v>
      </c>
      <c r="O67" s="26">
        <f>VLOOKUP($E67,'Retail Rates'!$B$7:$L$34,6,FALSE)</f>
        <v>180</v>
      </c>
      <c r="P67" s="27">
        <f>VLOOKUP($E67,'Retail Rates'!$B$7:$L$34,7,FALSE)</f>
        <v>0.22778999999999999</v>
      </c>
      <c r="Q67" s="27">
        <f>VLOOKUP($E67,'Retail Rates'!$B$7:$L$34,8,FALSE)</f>
        <v>0.17779</v>
      </c>
      <c r="R67" s="27"/>
      <c r="S67" s="26">
        <f>VLOOKUP($E67,'Retail Rates'!$B$7:$L$34,9,FALSE)</f>
        <v>0</v>
      </c>
      <c r="T67" s="27">
        <f>VLOOKUP($E67,'Retail Rates'!$B$7:$L$34,10,FALSE)</f>
        <v>0</v>
      </c>
      <c r="U67" s="26">
        <f>VLOOKUP($E67,'Retail Rates'!$B$7:$L$34,11,FALSE)</f>
        <v>0</v>
      </c>
      <c r="V67" s="309"/>
      <c r="W67" s="28">
        <f t="shared" si="236"/>
        <v>5880</v>
      </c>
      <c r="X67" s="28"/>
      <c r="Y67" s="28">
        <f t="shared" ref="Y67" si="261">+J67*O67</f>
        <v>20700</v>
      </c>
      <c r="Z67" s="28">
        <f t="shared" si="237"/>
        <v>299641.44344431115</v>
      </c>
      <c r="AA67" s="28">
        <f t="shared" si="238"/>
        <v>0</v>
      </c>
      <c r="AB67" s="28">
        <f t="shared" si="239"/>
        <v>0</v>
      </c>
      <c r="AC67" s="28"/>
      <c r="AD67" s="28"/>
      <c r="AE67" s="28">
        <f t="shared" si="256"/>
        <v>0</v>
      </c>
      <c r="AF67" s="28">
        <f>(+I67*V67)+(J67*V67)</f>
        <v>0</v>
      </c>
      <c r="AG67" s="48">
        <f ca="1">SUMIFS(Adjustments!H$5:H$557,Adjustments!$B$5:$B$557,'Jul17-Jun18 Retail'!$D67,Adjustments!$C$5:$C$557,'Jul17-Jun18 Retail'!$E67)</f>
        <v>0</v>
      </c>
      <c r="AH67" s="48">
        <f ca="1">SUMIFS(Adjustments!I$5:I$557,Adjustments!$B$5:$B$557,'Jul17-Jun18 Retail'!$D67,Adjustments!$C$5:$C$557,'Jul17-Jun18 Retail'!$E67)</f>
        <v>0</v>
      </c>
      <c r="AI67" s="40">
        <f ca="1">SUMIFS(Adjustments!J$5:J$557,Adjustments!$B$5:$B$557,'Jul17-Jun18 Retail'!$D67,Adjustments!$C$5:$C$557,'Jul17-Jun18 Retail'!$E67)</f>
        <v>0</v>
      </c>
      <c r="AJ67" s="40">
        <f ca="1">SUMIFS(Adjustments!K$5:K$557,Adjustments!$B$5:$B$557,'Jul17-Jun18 Retail'!$D67,Adjustments!$C$5:$C$557,'Jul17-Jun18 Retail'!$E67)</f>
        <v>0</v>
      </c>
      <c r="AK67" s="40">
        <f ca="1">SUMIFS(Adjustments!L$5:L$557,Adjustments!$B$5:$B$557,'Jul17-Jun18 Retail'!$D67,Adjustments!$C$5:$C$557,'Jul17-Jun18 Retail'!$E67)</f>
        <v>0</v>
      </c>
      <c r="AL67" s="40">
        <f ca="1">SUMIFS(Adjustments!M$5:M$557,Adjustments!$B$5:$B$557,'Jul17-Jun18 Retail'!$D67,Adjustments!$C$5:$C$557,'Jul17-Jun18 Retail'!$E67)</f>
        <v>0</v>
      </c>
      <c r="AM67" s="40">
        <f ca="1">SUMIFS(Adjustments!N$5:N$557,Adjustments!$B$5:$B$557,'Jul17-Jun18 Retail'!$D67,Adjustments!$C$5:$C$557,'Jul17-Jun18 Retail'!$E67)</f>
        <v>0</v>
      </c>
      <c r="AN67" s="40">
        <f ca="1">SUMIFS(Adjustments!O$5:O$557,Adjustments!$B$5:$B$557,'Jul17-Jun18 Retail'!$D67,Adjustments!$C$5:$C$557,'Jul17-Jun18 Retail'!$E67)</f>
        <v>0</v>
      </c>
      <c r="AO67" s="40">
        <f ca="1">SUMIFS(Adjustments!P$5:P$557,Adjustments!$B$5:$B$557,'Jul17-Jun18 Retail'!$D67,Adjustments!$C$5:$C$557,'Jul17-Jun18 Retail'!$E67)</f>
        <v>0</v>
      </c>
      <c r="AP67" s="28">
        <f t="shared" ca="1" si="241"/>
        <v>5880</v>
      </c>
      <c r="AQ67" s="28">
        <f t="shared" ca="1" si="242"/>
        <v>20700</v>
      </c>
      <c r="AR67" s="28">
        <f t="shared" ca="1" si="243"/>
        <v>299641.44344431115</v>
      </c>
      <c r="AS67" s="28">
        <f t="shared" ca="1" si="244"/>
        <v>0</v>
      </c>
      <c r="AT67" s="35">
        <f t="shared" si="245"/>
        <v>684770.78424092964</v>
      </c>
      <c r="AU67" s="35">
        <f t="shared" si="246"/>
        <v>0</v>
      </c>
      <c r="AV67" s="35"/>
      <c r="AW67" s="35">
        <f t="shared" si="247"/>
        <v>84528.575142048794</v>
      </c>
      <c r="AX67" s="28">
        <f t="shared" ca="1" si="248"/>
        <v>0</v>
      </c>
      <c r="AY67" s="28"/>
      <c r="AZ67" s="35">
        <f t="shared" ca="1" si="259"/>
        <v>1095520.8</v>
      </c>
      <c r="BA67" s="35">
        <f t="shared" si="260"/>
        <v>1095520.802819418</v>
      </c>
      <c r="BB67" s="36">
        <f t="shared" ca="1" si="250"/>
        <v>1</v>
      </c>
      <c r="BC67" s="35">
        <f>SUMIFS('Fin Forecast'!$S$3:$S$600,'Fin Forecast'!$B$3:$B$600,'Jul17-Jun18 Retail'!$E67,'Fin Forecast'!$C$3:$C$600,'Jul17-Jun18 Retail'!$BC$5)*1000</f>
        <v>0</v>
      </c>
      <c r="BD67" s="35">
        <f>SUMIFS('Fin Forecast'!$S$3:$S$600,'Fin Forecast'!$B$3:$B$600,'Jul17-Jun18 Retail'!$E67,'Fin Forecast'!$C$3:$C$600,'Jul17-Jun18 Retail'!$BD$5)*1000</f>
        <v>684770.78424092964</v>
      </c>
      <c r="BE67" s="35"/>
      <c r="BF67" s="35"/>
      <c r="BG67" s="35">
        <f>SUMIFS('Fin Forecast'!$S$3:$S$600,'Fin Forecast'!$B$3:$B$600,'Jul17-Jun18 Retail'!$E67,'Fin Forecast'!$C$3:$C$600,'Jul17-Jun18 Retail'!$BG$5)*1000</f>
        <v>26580.000000000004</v>
      </c>
      <c r="BH67" s="35">
        <f>SUMIFS('Fin Forecast'!$S$3:$S$600,'Fin Forecast'!$B$3:$B$600,'Jul17-Jun18 Retail'!$E67,'Fin Forecast'!$C$3:$C$600,'Jul17-Jun18 Retail'!$BH$5)*1000</f>
        <v>299641.4434364395</v>
      </c>
      <c r="BI67" s="35">
        <f>SUMIFS('Fin Forecast'!$S$3:$S$600,'Fin Forecast'!$B$3:$B$600,'Jul17-Jun18 Retail'!$E67,'Fin Forecast'!$C$3:$C$600,'Jul17-Jun18 Retail'!$BI$5)*1000</f>
        <v>0</v>
      </c>
      <c r="BJ67" s="35">
        <f>SUMIFS('Fin Forecast'!$S$3:$S$600,'Fin Forecast'!$B$3:$B$600,'Jul17-Jun18 Retail'!$E67,'Fin Forecast'!$C$3:$C$600,'Jul17-Jun18 Retail'!$BJ$5)*1000</f>
        <v>84528.575142048794</v>
      </c>
      <c r="BL67" s="44">
        <f t="shared" ca="1" si="251"/>
        <v>-2.8194179758429527E-3</v>
      </c>
      <c r="BN67" s="49">
        <f t="shared" ca="1" si="252"/>
        <v>0</v>
      </c>
      <c r="BO67" s="49">
        <f t="shared" ca="1" si="253"/>
        <v>7.8716548159718513E-6</v>
      </c>
      <c r="BP67" s="49">
        <f t="shared" si="254"/>
        <v>0</v>
      </c>
    </row>
    <row r="68" spans="1:68" ht="15" x14ac:dyDescent="0.25">
      <c r="C68" s="6">
        <f t="shared" si="258"/>
        <v>54</v>
      </c>
      <c r="D68" s="361">
        <f>$D$63</f>
        <v>43160</v>
      </c>
      <c r="E68" s="361" t="str">
        <f>+'Retail Rates'!$B$31</f>
        <v>LGRSG811</v>
      </c>
      <c r="F68" s="6" t="str">
        <f t="shared" si="255"/>
        <v>811</v>
      </c>
      <c r="G68" s="6" t="str">
        <f>VLOOKUP(E68,'Retail Rates'!$B$7:$D$34,3,FALSE)</f>
        <v>RGS</v>
      </c>
      <c r="H68" s="25">
        <f>SUMIF('Forcasted Customer Cts'!$D$5:$D$36,'Jul17-Jun18 Retail'!$E68,'Forcasted Customer Cts'!$X$5:$X$36)</f>
        <v>297745</v>
      </c>
      <c r="I68" s="25"/>
      <c r="J68" s="25"/>
      <c r="K68" s="25">
        <f>SUMIF('Forecasted Calendar Month Usage'!$D$5:$D$41,'Jul17-Jun18 Retail'!$E68,'Forecasted Calendar Month Usage'!$AF$5:$AF$41)*10</f>
        <v>25423537.22491404</v>
      </c>
      <c r="L68" s="25"/>
      <c r="M68" s="25"/>
      <c r="N68" s="26">
        <f>VLOOKUP($E68,'Retail Rates'!$B$7:$L$34,5,FALSE)</f>
        <v>13.5</v>
      </c>
      <c r="O68" s="26">
        <f>VLOOKUP($E68,'Retail Rates'!$B$7:$L$34,6,FALSE)</f>
        <v>0</v>
      </c>
      <c r="P68" s="27">
        <f>VLOOKUP($E68,'Retail Rates'!$B$7:$L$34,7,FALSE)</f>
        <v>0.28693000000000002</v>
      </c>
      <c r="Q68" s="27">
        <f>VLOOKUP($E68,'Retail Rates'!$B$7:$L$34,8,FALSE)</f>
        <v>0</v>
      </c>
      <c r="R68" s="27"/>
      <c r="S68" s="26">
        <f>VLOOKUP($E68,'Retail Rates'!$B$7:$L$34,9,FALSE)</f>
        <v>0</v>
      </c>
      <c r="T68" s="27">
        <f>VLOOKUP($E68,'Retail Rates'!$B$7:$L$34,10,FALSE)</f>
        <v>0</v>
      </c>
      <c r="U68" s="26">
        <f>VLOOKUP($E68,'Retail Rates'!$B$7:$L$34,11,FALSE)</f>
        <v>0</v>
      </c>
      <c r="V68" s="309"/>
      <c r="W68" s="28">
        <f t="shared" si="236"/>
        <v>4019557.5</v>
      </c>
      <c r="X68" s="28"/>
      <c r="Y68" s="28"/>
      <c r="Z68" s="28">
        <f t="shared" si="237"/>
        <v>7294775.5359445857</v>
      </c>
      <c r="AA68" s="28">
        <f t="shared" si="238"/>
        <v>0</v>
      </c>
      <c r="AB68" s="28">
        <f t="shared" si="239"/>
        <v>0</v>
      </c>
      <c r="AC68" s="28"/>
      <c r="AD68" s="28"/>
      <c r="AE68" s="28">
        <f t="shared" si="256"/>
        <v>0</v>
      </c>
      <c r="AF68" s="28">
        <f t="shared" ref="AF68" si="262">(+H68*V68)+(I68*V68)</f>
        <v>0</v>
      </c>
      <c r="AG68" s="48">
        <f ca="1">SUMIFS(Adjustments!H$5:H$557,Adjustments!$B$5:$B$557,'Jul17-Jun18 Retail'!$D68,Adjustments!$C$5:$C$557,'Jul17-Jun18 Retail'!$E68)</f>
        <v>0</v>
      </c>
      <c r="AH68" s="48">
        <f ca="1">SUMIFS(Adjustments!I$5:I$557,Adjustments!$B$5:$B$557,'Jul17-Jun18 Retail'!$D68,Adjustments!$C$5:$C$557,'Jul17-Jun18 Retail'!$E68)</f>
        <v>0</v>
      </c>
      <c r="AI68" s="40">
        <f ca="1">SUMIFS(Adjustments!J$5:J$557,Adjustments!$B$5:$B$557,'Jul17-Jun18 Retail'!$D68,Adjustments!$C$5:$C$557,'Jul17-Jun18 Retail'!$E68)</f>
        <v>0</v>
      </c>
      <c r="AJ68" s="40">
        <f ca="1">SUMIFS(Adjustments!K$5:K$557,Adjustments!$B$5:$B$557,'Jul17-Jun18 Retail'!$D68,Adjustments!$C$5:$C$557,'Jul17-Jun18 Retail'!$E68)</f>
        <v>0</v>
      </c>
      <c r="AK68" s="40">
        <f ca="1">SUMIFS(Adjustments!L$5:L$557,Adjustments!$B$5:$B$557,'Jul17-Jun18 Retail'!$D68,Adjustments!$C$5:$C$557,'Jul17-Jun18 Retail'!$E68)</f>
        <v>0</v>
      </c>
      <c r="AL68" s="40">
        <f ca="1">SUMIFS(Adjustments!M$5:M$557,Adjustments!$B$5:$B$557,'Jul17-Jun18 Retail'!$D68,Adjustments!$C$5:$C$557,'Jul17-Jun18 Retail'!$E68)</f>
        <v>0</v>
      </c>
      <c r="AM68" s="40">
        <f ca="1">SUMIFS(Adjustments!N$5:N$557,Adjustments!$B$5:$B$557,'Jul17-Jun18 Retail'!$D68,Adjustments!$C$5:$C$557,'Jul17-Jun18 Retail'!$E68)</f>
        <v>0</v>
      </c>
      <c r="AN68" s="40">
        <f ca="1">SUMIFS(Adjustments!O$5:O$557,Adjustments!$B$5:$B$557,'Jul17-Jun18 Retail'!$D68,Adjustments!$C$5:$C$557,'Jul17-Jun18 Retail'!$E68)</f>
        <v>0</v>
      </c>
      <c r="AO68" s="40">
        <f ca="1">SUMIFS(Adjustments!P$5:P$557,Adjustments!$B$5:$B$557,'Jul17-Jun18 Retail'!$D68,Adjustments!$C$5:$C$557,'Jul17-Jun18 Retail'!$E68)</f>
        <v>0</v>
      </c>
      <c r="AP68" s="28">
        <f t="shared" ref="AP68" ca="1" si="263">+W68+AI68+(AG68*N68)</f>
        <v>4019557.5</v>
      </c>
      <c r="AQ68" s="28">
        <f t="shared" ca="1" si="242"/>
        <v>0</v>
      </c>
      <c r="AR68" s="28">
        <f t="shared" ca="1" si="243"/>
        <v>7294775.5359445857</v>
      </c>
      <c r="AS68" s="28">
        <f t="shared" ca="1" si="244"/>
        <v>0</v>
      </c>
      <c r="AT68" s="35">
        <f t="shared" si="245"/>
        <v>13234696.0468658</v>
      </c>
      <c r="AU68" s="35">
        <f t="shared" si="246"/>
        <v>279418.74872562697</v>
      </c>
      <c r="AV68" s="35"/>
      <c r="AW68" s="35">
        <f t="shared" si="247"/>
        <v>2049110.02986548</v>
      </c>
      <c r="AX68" s="28">
        <f t="shared" ca="1" si="248"/>
        <v>0</v>
      </c>
      <c r="AY68" s="28"/>
      <c r="AZ68" s="35">
        <f t="shared" ref="AZ68" ca="1" si="264">ROUND(SUM(AP68:AY68),2)</f>
        <v>26877557.859999999</v>
      </c>
      <c r="BA68" s="35">
        <f t="shared" ref="BA68" si="265">SUM(BC68:BJ68)-BF68</f>
        <v>26877557.86063939</v>
      </c>
      <c r="BB68" s="36">
        <f t="shared" ca="1" si="250"/>
        <v>1</v>
      </c>
      <c r="BC68" s="35">
        <f>SUMIFS('Fin Forecast'!$S$3:$S$600,'Fin Forecast'!$B$3:$B$600,'Jul17-Jun18 Retail'!$E68,'Fin Forecast'!$C$3:$C$600,'Jul17-Jun18 Retail'!$BC$5)*1000</f>
        <v>279418.74872562697</v>
      </c>
      <c r="BD68" s="35">
        <f>SUMIFS('Fin Forecast'!$S$3:$S$600,'Fin Forecast'!$B$3:$B$600,'Jul17-Jun18 Retail'!$E68,'Fin Forecast'!$C$3:$C$600,'Jul17-Jun18 Retail'!$BD$5)*1000</f>
        <v>13234696.0468658</v>
      </c>
      <c r="BE68" s="35"/>
      <c r="BF68" s="35"/>
      <c r="BG68" s="35">
        <f>SUMIFS('Fin Forecast'!$S$3:$S$600,'Fin Forecast'!$B$3:$B$600,'Jul17-Jun18 Retail'!$E68,'Fin Forecast'!$C$3:$C$600,'Jul17-Jun18 Retail'!$BG$5)*1000</f>
        <v>4019557.5</v>
      </c>
      <c r="BH68" s="35">
        <f>SUMIFS('Fin Forecast'!$S$3:$S$600,'Fin Forecast'!$B$3:$B$600,'Jul17-Jun18 Retail'!$E68,'Fin Forecast'!$C$3:$C$600,'Jul17-Jun18 Retail'!$BH$5)*1000</f>
        <v>7294775.5351824798</v>
      </c>
      <c r="BI68" s="35">
        <f>SUMIFS('Fin Forecast'!$S$3:$S$600,'Fin Forecast'!$B$3:$B$600,'Jul17-Jun18 Retail'!$E68,'Fin Forecast'!$C$3:$C$600,'Jul17-Jun18 Retail'!$BI$5)*1000</f>
        <v>0</v>
      </c>
      <c r="BJ68" s="35">
        <f>SUMIFS('Fin Forecast'!$S$3:$S$600,'Fin Forecast'!$B$3:$B$600,'Jul17-Jun18 Retail'!$E68,'Fin Forecast'!$C$3:$C$600,'Jul17-Jun18 Retail'!$BJ$5)*1000</f>
        <v>2049110.02986548</v>
      </c>
      <c r="BL68" s="44">
        <f t="shared" ca="1" si="251"/>
        <v>-6.3939020037651062E-4</v>
      </c>
      <c r="BN68" s="49">
        <f t="shared" ca="1" si="252"/>
        <v>0</v>
      </c>
      <c r="BO68" s="49">
        <f t="shared" ca="1" si="253"/>
        <v>7.6210591942071915E-4</v>
      </c>
      <c r="BP68" s="49">
        <f t="shared" si="254"/>
        <v>0</v>
      </c>
    </row>
    <row r="69" spans="1:68" s="323" customFormat="1" ht="15" x14ac:dyDescent="0.25">
      <c r="C69" s="324"/>
      <c r="D69" s="362"/>
      <c r="E69" s="362"/>
      <c r="F69" s="324"/>
      <c r="G69" s="324"/>
      <c r="N69" s="326"/>
      <c r="O69" s="326"/>
      <c r="P69" s="327"/>
      <c r="Q69" s="327"/>
      <c r="R69" s="327"/>
      <c r="S69" s="326"/>
      <c r="T69" s="327"/>
      <c r="U69" s="327"/>
      <c r="V69" s="328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30"/>
      <c r="AH69" s="330"/>
      <c r="AI69" s="329"/>
      <c r="AJ69" s="329"/>
      <c r="AK69" s="329"/>
      <c r="AL69" s="329"/>
      <c r="AM69" s="329"/>
      <c r="AN69" s="329"/>
      <c r="AO69" s="329"/>
      <c r="AP69" s="341"/>
      <c r="AQ69" s="341"/>
      <c r="AR69" s="341"/>
      <c r="AS69" s="341"/>
      <c r="AT69" s="329"/>
      <c r="AU69" s="329"/>
      <c r="AV69" s="329"/>
      <c r="AW69" s="329"/>
      <c r="AX69" s="329"/>
      <c r="AY69" s="329"/>
      <c r="AZ69" s="329"/>
      <c r="BA69" s="329"/>
      <c r="BB69" s="331"/>
      <c r="BC69" s="341"/>
      <c r="BD69" s="341"/>
      <c r="BE69" s="341"/>
      <c r="BF69" s="341"/>
      <c r="BG69" s="341"/>
      <c r="BH69" s="341"/>
      <c r="BI69" s="341"/>
      <c r="BJ69" s="341"/>
      <c r="BL69" s="329"/>
      <c r="BN69" s="329"/>
      <c r="BO69" s="329"/>
      <c r="BP69" s="329"/>
    </row>
    <row r="70" spans="1:68" ht="15" x14ac:dyDescent="0.25">
      <c r="C70" s="6">
        <f>C68+1</f>
        <v>55</v>
      </c>
      <c r="D70" s="361">
        <f>EDATE(D63,1)</f>
        <v>43191</v>
      </c>
      <c r="E70" s="361" t="str">
        <f>+'Retail Rates'!$B$7</f>
        <v>LGCMG865</v>
      </c>
      <c r="F70" s="6" t="str">
        <f>MID(E70,6,3)</f>
        <v>865</v>
      </c>
      <c r="G70" s="6" t="str">
        <f>VLOOKUP(E70,'Retail Rates'!$B$7:$D$34,3,FALSE)</f>
        <v>AAGS-C</v>
      </c>
      <c r="H70" s="25">
        <f>SUMIF('Forcasted Customer Cts'!$D$5:$D$36,'Jul17-Jun18 Retail'!$E70,'Forcasted Customer Cts'!$Y$5:$Y$36)</f>
        <v>4</v>
      </c>
      <c r="I70" s="25"/>
      <c r="J70" s="25"/>
      <c r="K70" s="25">
        <f>SUMIF('Forecasted Calendar Month Usage'!$D$5:$D$41,'Jul17-Jun18 Retail'!$E70,'Forecasted Calendar Month Usage'!$AG$5:$AG$41)*10</f>
        <v>74919.284577140614</v>
      </c>
      <c r="L70" s="25"/>
      <c r="M70" s="25"/>
      <c r="N70" s="26">
        <f>VLOOKUP($E70,'Retail Rates'!$B$7:$L$34,5,FALSE)</f>
        <v>400</v>
      </c>
      <c r="O70" s="26">
        <f>VLOOKUP($E70,'Retail Rates'!$B$7:$L$34,6,FALSE)</f>
        <v>0</v>
      </c>
      <c r="P70" s="27">
        <f>VLOOKUP($E70,'Retail Rates'!$B$7:$L$34,7,FALSE)</f>
        <v>7.009E-2</v>
      </c>
      <c r="Q70" s="27">
        <f>VLOOKUP($E70,'Retail Rates'!$B$7:$L$34,8,FALSE)</f>
        <v>0</v>
      </c>
      <c r="R70" s="27"/>
      <c r="S70" s="26">
        <f>VLOOKUP($E70,'Retail Rates'!$B$7:$L$34,9,FALSE)</f>
        <v>0</v>
      </c>
      <c r="T70" s="27">
        <f>VLOOKUP($E70,'Retail Rates'!$B$7:$L$34,10,FALSE)</f>
        <v>0</v>
      </c>
      <c r="U70" s="26">
        <f>VLOOKUP($E70,'Retail Rates'!$B$7:$L$34,11,FALSE)</f>
        <v>0</v>
      </c>
      <c r="V70" s="309"/>
      <c r="W70" s="28">
        <f t="shared" ref="W70:W75" si="266">(+H70*N70)+(I70*N70)</f>
        <v>1600</v>
      </c>
      <c r="X70" s="28"/>
      <c r="Y70" s="28"/>
      <c r="Z70" s="28">
        <f t="shared" ref="Z70:Z75" si="267">+K70*P70</f>
        <v>5251.0926560117859</v>
      </c>
      <c r="AA70" s="28">
        <f t="shared" ref="AA70:AA75" si="268">+L70*Q70</f>
        <v>0</v>
      </c>
      <c r="AB70" s="28">
        <f t="shared" ref="AB70:AB75" si="269">SUM(K70:L70)*R70</f>
        <v>0</v>
      </c>
      <c r="AC70" s="28"/>
      <c r="AD70" s="28"/>
      <c r="AE70" s="28">
        <f>M70*U70</f>
        <v>0</v>
      </c>
      <c r="AF70" s="28">
        <f t="shared" ref="AF70:AF73" si="270">(+H70*V70)+(I70*V70)</f>
        <v>0</v>
      </c>
      <c r="AG70" s="48">
        <f ca="1">SUMIFS(Adjustments!H$5:H$557,Adjustments!$B$5:$B$557,'Jul17-Jun18 Retail'!$D70,Adjustments!$C$5:$C$557,'Jul17-Jun18 Retail'!$E70)</f>
        <v>0</v>
      </c>
      <c r="AH70" s="48">
        <f ca="1">SUMIFS(Adjustments!I$5:I$557,Adjustments!$B$5:$B$557,'Jul17-Jun18 Retail'!$D70,Adjustments!$C$5:$C$557,'Jul17-Jun18 Retail'!$E70)</f>
        <v>0</v>
      </c>
      <c r="AI70" s="40">
        <f ca="1">SUMIFS(Adjustments!J$5:J$557,Adjustments!$B$5:$B$557,'Jul17-Jun18 Retail'!$D70,Adjustments!$C$5:$C$557,'Jul17-Jun18 Retail'!$E70)</f>
        <v>0</v>
      </c>
      <c r="AJ70" s="40">
        <f ca="1">SUMIFS(Adjustments!K$5:K$557,Adjustments!$B$5:$B$557,'Jul17-Jun18 Retail'!$D70,Adjustments!$C$5:$C$557,'Jul17-Jun18 Retail'!$E70)</f>
        <v>0</v>
      </c>
      <c r="AK70" s="40">
        <f ca="1">SUMIFS(Adjustments!L$5:L$557,Adjustments!$B$5:$B$557,'Jul17-Jun18 Retail'!$D70,Adjustments!$C$5:$C$557,'Jul17-Jun18 Retail'!$E70)</f>
        <v>0</v>
      </c>
      <c r="AL70" s="40">
        <f ca="1">SUMIFS(Adjustments!M$5:M$557,Adjustments!$B$5:$B$557,'Jul17-Jun18 Retail'!$D70,Adjustments!$C$5:$C$557,'Jul17-Jun18 Retail'!$E70)</f>
        <v>0</v>
      </c>
      <c r="AM70" s="40">
        <f ca="1">SUMIFS(Adjustments!N$5:N$557,Adjustments!$B$5:$B$557,'Jul17-Jun18 Retail'!$D70,Adjustments!$C$5:$C$557,'Jul17-Jun18 Retail'!$E70)</f>
        <v>0</v>
      </c>
      <c r="AN70" s="40">
        <f ca="1">SUMIFS(Adjustments!O$5:O$557,Adjustments!$B$5:$B$557,'Jul17-Jun18 Retail'!$D70,Adjustments!$C$5:$C$557,'Jul17-Jun18 Retail'!$E70)</f>
        <v>0</v>
      </c>
      <c r="AO70" s="40">
        <f ca="1">SUMIFS(Adjustments!P$5:P$557,Adjustments!$B$5:$B$557,'Jul17-Jun18 Retail'!$D70,Adjustments!$C$5:$C$557,'Jul17-Jun18 Retail'!$E70)</f>
        <v>0</v>
      </c>
      <c r="AP70" s="28">
        <f t="shared" ref="AP70:AP74" ca="1" si="271">+W70+AI70+(AG70*N70)</f>
        <v>1600</v>
      </c>
      <c r="AQ70" s="28">
        <f t="shared" ref="AQ70:AQ75" ca="1" si="272">+Y70+AJ70</f>
        <v>0</v>
      </c>
      <c r="AR70" s="28">
        <f t="shared" ref="AR70:AR75" ca="1" si="273">+Z70+AK70</f>
        <v>5251.0926560117859</v>
      </c>
      <c r="AS70" s="28">
        <f t="shared" ref="AS70:AS75" ca="1" si="274">+AA70+AL70</f>
        <v>0</v>
      </c>
      <c r="AT70" s="35">
        <f t="shared" ref="AT70:AT75" si="275">BD70</f>
        <v>40854.611621190204</v>
      </c>
      <c r="AU70" s="35">
        <f t="shared" ref="AU70:AU75" si="276">BC70</f>
        <v>823.12333354266696</v>
      </c>
      <c r="AV70" s="35"/>
      <c r="AW70" s="35">
        <f t="shared" ref="AW70:AW75" si="277">BJ70</f>
        <v>17194.304071071372</v>
      </c>
      <c r="AX70" s="28">
        <f t="shared" ref="AX70:AX75" ca="1" si="278">+AE70+AO70</f>
        <v>0</v>
      </c>
      <c r="AY70" s="28"/>
      <c r="AZ70" s="35">
        <f t="shared" ref="AZ70:AZ71" ca="1" si="279">ROUND(SUM(AP70:AY70),2)</f>
        <v>65723.13</v>
      </c>
      <c r="BA70" s="35">
        <f>SUM(BC70:BJ70)-BF70</f>
        <v>65723.1316815959</v>
      </c>
      <c r="BB70" s="36">
        <f t="shared" ref="BB70:BB75" ca="1" si="280">IF(BA70=0,0,ROUND(BA70/AZ70,6))</f>
        <v>1</v>
      </c>
      <c r="BC70" s="35">
        <f>SUMIFS('Fin Forecast'!$T$3:$T$600,'Fin Forecast'!$B$3:$B$600,'Jul17-Jun18 Retail'!$E70,'Fin Forecast'!$C$3:$C$600,'Jul17-Jun18 Retail'!$BC$5)*1000</f>
        <v>823.12333354266696</v>
      </c>
      <c r="BD70" s="35">
        <f>SUMIFS('Fin Forecast'!$T$3:$T$600,'Fin Forecast'!$B$3:$B$600,'Jul17-Jun18 Retail'!$E70,'Fin Forecast'!$C$3:$C$600,'Jul17-Jun18 Retail'!$BD$5)*1000</f>
        <v>40854.611621190204</v>
      </c>
      <c r="BE70" s="35"/>
      <c r="BF70" s="35"/>
      <c r="BG70" s="35">
        <f>SUMIFS('Fin Forecast'!$T$3:$T$600,'Fin Forecast'!$B$3:$B$600,'Jul17-Jun18 Retail'!$E70,'Fin Forecast'!$C$3:$C$600,'Jul17-Jun18 Retail'!$BG$5)*1000</f>
        <v>1600</v>
      </c>
      <c r="BH70" s="35">
        <f>SUMIFS('Fin Forecast'!$T$3:$T$600,'Fin Forecast'!$B$3:$B$600,'Jul17-Jun18 Retail'!$E70,'Fin Forecast'!$C$3:$C$600,'Jul17-Jun18 Retail'!$BH$5)*1000</f>
        <v>5251.09265579166</v>
      </c>
      <c r="BI70" s="35">
        <f>SUMIFS('Fin Forecast'!$T$3:$T$600,'Fin Forecast'!$B$3:$B$600,'Jul17-Jun18 Retail'!$E70,'Fin Forecast'!$C$3:$C$600,'Jul17-Jun18 Retail'!$BI$5)*1000</f>
        <v>0</v>
      </c>
      <c r="BJ70" s="35">
        <f>SUMIFS('Fin Forecast'!$T$3:$T$600,'Fin Forecast'!$B$3:$B$600,'Jul17-Jun18 Retail'!$E70,'Fin Forecast'!$C$3:$C$600,'Jul17-Jun18 Retail'!$BJ$5)*1000</f>
        <v>17194.304071071372</v>
      </c>
      <c r="BL70" s="44">
        <f t="shared" ref="BL70:BL75" ca="1" si="281">+AZ70-BA70</f>
        <v>-1.6815958952065557E-3</v>
      </c>
      <c r="BN70" s="49">
        <f t="shared" ref="BN70:BN75" ca="1" si="282">+AP70+AQ70-BG70</f>
        <v>0</v>
      </c>
      <c r="BO70" s="49">
        <f t="shared" ref="BO70:BO75" ca="1" si="283">+AR70+AS70-BH70</f>
        <v>2.2012591216480359E-7</v>
      </c>
      <c r="BP70" s="49">
        <f t="shared" ref="BP70:BP75" si="284">+AT70-BD70</f>
        <v>0</v>
      </c>
    </row>
    <row r="71" spans="1:68" ht="15" x14ac:dyDescent="0.25">
      <c r="C71" s="6">
        <f>C70+1</f>
        <v>56</v>
      </c>
      <c r="D71" s="361">
        <f>$D$70</f>
        <v>43191</v>
      </c>
      <c r="E71" s="361" t="str">
        <f>+'Retail Rates'!$B$10</f>
        <v>LGING866</v>
      </c>
      <c r="F71" s="6" t="str">
        <f t="shared" ref="F71:F75" si="285">MID(E71,6,3)</f>
        <v>866</v>
      </c>
      <c r="G71" s="6" t="str">
        <f>VLOOKUP(E71,'Retail Rates'!$B$7:$D$34,3,FALSE)</f>
        <v>AAGS-I</v>
      </c>
      <c r="H71" s="25">
        <f>SUMIF('Forcasted Customer Cts'!$D$5:$D$36,'Jul17-Jun18 Retail'!$E71,'Forcasted Customer Cts'!$Y$5:$Y$36)</f>
        <v>0</v>
      </c>
      <c r="I71" s="25"/>
      <c r="J71" s="25"/>
      <c r="K71" s="25">
        <f>SUMIF('Forecasted Calendar Month Usage'!$D$5:$D$41,'Jul17-Jun18 Retail'!$E71,'Forecasted Calendar Month Usage'!$AG$5:$AG$41)*10</f>
        <v>0</v>
      </c>
      <c r="L71" s="25"/>
      <c r="M71" s="25"/>
      <c r="N71" s="26">
        <f>VLOOKUP($E71,'Retail Rates'!$B$7:$L$34,5,FALSE)</f>
        <v>400</v>
      </c>
      <c r="O71" s="26">
        <f>VLOOKUP($E71,'Retail Rates'!$B$7:$L$34,6,FALSE)</f>
        <v>0</v>
      </c>
      <c r="P71" s="27">
        <f>VLOOKUP($E71,'Retail Rates'!$B$7:$L$34,7,FALSE)</f>
        <v>7.009E-2</v>
      </c>
      <c r="Q71" s="27">
        <f>VLOOKUP($E71,'Retail Rates'!$B$7:$L$34,8,FALSE)</f>
        <v>0</v>
      </c>
      <c r="R71" s="27"/>
      <c r="S71" s="26">
        <f>VLOOKUP($E71,'Retail Rates'!$B$7:$L$34,9,FALSE)</f>
        <v>0</v>
      </c>
      <c r="T71" s="27">
        <f>VLOOKUP($E71,'Retail Rates'!$B$7:$L$34,10,FALSE)</f>
        <v>0</v>
      </c>
      <c r="U71" s="26">
        <f>VLOOKUP($E71,'Retail Rates'!$B$7:$L$34,11,FALSE)</f>
        <v>0</v>
      </c>
      <c r="V71" s="309"/>
      <c r="W71" s="28">
        <f t="shared" si="266"/>
        <v>0</v>
      </c>
      <c r="X71" s="28"/>
      <c r="Y71" s="28"/>
      <c r="Z71" s="28">
        <f t="shared" si="267"/>
        <v>0</v>
      </c>
      <c r="AA71" s="28">
        <f t="shared" si="268"/>
        <v>0</v>
      </c>
      <c r="AB71" s="28">
        <f t="shared" si="269"/>
        <v>0</v>
      </c>
      <c r="AC71" s="28"/>
      <c r="AD71" s="28"/>
      <c r="AE71" s="28">
        <f t="shared" ref="AE71:AE75" si="286">M71*U71</f>
        <v>0</v>
      </c>
      <c r="AF71" s="28">
        <f t="shared" si="270"/>
        <v>0</v>
      </c>
      <c r="AG71" s="48">
        <f ca="1">SUMIFS(Adjustments!H$5:H$557,Adjustments!$B$5:$B$557,'Jul17-Jun18 Retail'!$D71,Adjustments!$C$5:$C$557,'Jul17-Jun18 Retail'!$E71)</f>
        <v>0</v>
      </c>
      <c r="AH71" s="48">
        <f ca="1">SUMIFS(Adjustments!I$5:I$557,Adjustments!$B$5:$B$557,'Jul17-Jun18 Retail'!$D71,Adjustments!$C$5:$C$557,'Jul17-Jun18 Retail'!$E71)</f>
        <v>0</v>
      </c>
      <c r="AI71" s="40">
        <f ca="1">SUMIFS(Adjustments!J$5:J$557,Adjustments!$B$5:$B$557,'Jul17-Jun18 Retail'!$D71,Adjustments!$C$5:$C$557,'Jul17-Jun18 Retail'!$E71)</f>
        <v>0</v>
      </c>
      <c r="AJ71" s="40">
        <f ca="1">SUMIFS(Adjustments!K$5:K$557,Adjustments!$B$5:$B$557,'Jul17-Jun18 Retail'!$D71,Adjustments!$C$5:$C$557,'Jul17-Jun18 Retail'!$E71)</f>
        <v>0</v>
      </c>
      <c r="AK71" s="40">
        <f ca="1">SUMIFS(Adjustments!L$5:L$557,Adjustments!$B$5:$B$557,'Jul17-Jun18 Retail'!$D71,Adjustments!$C$5:$C$557,'Jul17-Jun18 Retail'!$E71)</f>
        <v>0</v>
      </c>
      <c r="AL71" s="40">
        <f ca="1">SUMIFS(Adjustments!M$5:M$557,Adjustments!$B$5:$B$557,'Jul17-Jun18 Retail'!$D71,Adjustments!$C$5:$C$557,'Jul17-Jun18 Retail'!$E71)</f>
        <v>0</v>
      </c>
      <c r="AM71" s="40">
        <f ca="1">SUMIFS(Adjustments!N$5:N$557,Adjustments!$B$5:$B$557,'Jul17-Jun18 Retail'!$D71,Adjustments!$C$5:$C$557,'Jul17-Jun18 Retail'!$E71)</f>
        <v>0</v>
      </c>
      <c r="AN71" s="40">
        <f ca="1">SUMIFS(Adjustments!O$5:O$557,Adjustments!$B$5:$B$557,'Jul17-Jun18 Retail'!$D71,Adjustments!$C$5:$C$557,'Jul17-Jun18 Retail'!$E71)</f>
        <v>0</v>
      </c>
      <c r="AO71" s="40">
        <f ca="1">SUMIFS(Adjustments!P$5:P$557,Adjustments!$B$5:$B$557,'Jul17-Jun18 Retail'!$D71,Adjustments!$C$5:$C$557,'Jul17-Jun18 Retail'!$E71)</f>
        <v>0</v>
      </c>
      <c r="AP71" s="28">
        <f t="shared" ca="1" si="271"/>
        <v>0</v>
      </c>
      <c r="AQ71" s="28">
        <f t="shared" ca="1" si="272"/>
        <v>0</v>
      </c>
      <c r="AR71" s="28">
        <f t="shared" ca="1" si="273"/>
        <v>0</v>
      </c>
      <c r="AS71" s="28">
        <f t="shared" ca="1" si="274"/>
        <v>0</v>
      </c>
      <c r="AT71" s="35">
        <f t="shared" si="275"/>
        <v>0</v>
      </c>
      <c r="AU71" s="35">
        <f t="shared" si="276"/>
        <v>0</v>
      </c>
      <c r="AV71" s="35"/>
      <c r="AW71" s="35">
        <f t="shared" si="277"/>
        <v>0</v>
      </c>
      <c r="AX71" s="28">
        <f t="shared" ca="1" si="278"/>
        <v>0</v>
      </c>
      <c r="AY71" s="28"/>
      <c r="AZ71" s="35">
        <f t="shared" ca="1" si="279"/>
        <v>0</v>
      </c>
      <c r="BA71" s="35">
        <f t="shared" ref="BA71" si="287">SUM(BC71:BJ71)-BF71</f>
        <v>0</v>
      </c>
      <c r="BB71" s="36">
        <f t="shared" si="280"/>
        <v>0</v>
      </c>
      <c r="BC71" s="35">
        <f>SUMIFS('Fin Forecast'!$T$3:$T$600,'Fin Forecast'!$B$3:$B$600,'Jul17-Jun18 Retail'!$E71,'Fin Forecast'!$C$3:$C$600,'Jul17-Jun18 Retail'!$BC$5)*1000</f>
        <v>0</v>
      </c>
      <c r="BD71" s="35">
        <f>SUMIFS('Fin Forecast'!$T$3:$T$600,'Fin Forecast'!$B$3:$B$600,'Jul17-Jun18 Retail'!$E71,'Fin Forecast'!$C$3:$C$600,'Jul17-Jun18 Retail'!$BD$5)*1000</f>
        <v>0</v>
      </c>
      <c r="BE71" s="35"/>
      <c r="BF71" s="35"/>
      <c r="BG71" s="35">
        <f>SUMIFS('Fin Forecast'!$T$3:$T$600,'Fin Forecast'!$B$3:$B$600,'Jul17-Jun18 Retail'!$E71,'Fin Forecast'!$C$3:$C$600,'Jul17-Jun18 Retail'!$BG$5)*1000</f>
        <v>0</v>
      </c>
      <c r="BH71" s="35">
        <f>SUMIFS('Fin Forecast'!$T$3:$T$600,'Fin Forecast'!$B$3:$B$600,'Jul17-Jun18 Retail'!$E71,'Fin Forecast'!$C$3:$C$600,'Jul17-Jun18 Retail'!$BH$5)*1000</f>
        <v>0</v>
      </c>
      <c r="BI71" s="35">
        <f>SUMIFS('Fin Forecast'!$T$3:$T$600,'Fin Forecast'!$B$3:$B$600,'Jul17-Jun18 Retail'!$E71,'Fin Forecast'!$C$3:$C$600,'Jul17-Jun18 Retail'!$BI$5)*1000</f>
        <v>0</v>
      </c>
      <c r="BJ71" s="35">
        <f>SUMIFS('Fin Forecast'!$T$3:$T$600,'Fin Forecast'!$B$3:$B$600,'Jul17-Jun18 Retail'!$E71,'Fin Forecast'!$C$3:$C$600,'Jul17-Jun18 Retail'!$BJ$5)*1000</f>
        <v>0</v>
      </c>
      <c r="BL71" s="44">
        <f t="shared" ca="1" si="281"/>
        <v>0</v>
      </c>
      <c r="BN71" s="49">
        <f t="shared" ca="1" si="282"/>
        <v>0</v>
      </c>
      <c r="BO71" s="49">
        <f t="shared" ca="1" si="283"/>
        <v>0</v>
      </c>
      <c r="BP71" s="49">
        <f t="shared" si="284"/>
        <v>0</v>
      </c>
    </row>
    <row r="72" spans="1:68" ht="15" x14ac:dyDescent="0.25">
      <c r="A72" s="304" t="s">
        <v>443</v>
      </c>
      <c r="B72" s="304" t="s">
        <v>444</v>
      </c>
      <c r="C72" s="6">
        <f t="shared" ref="C72:C75" si="288">C71+1</f>
        <v>57</v>
      </c>
      <c r="D72" s="361">
        <f>$D$70</f>
        <v>43191</v>
      </c>
      <c r="E72" s="361" t="str">
        <f>+'Retail Rates'!$B$15</f>
        <v>LGCMG851</v>
      </c>
      <c r="F72" s="6" t="str">
        <f t="shared" si="285"/>
        <v>851</v>
      </c>
      <c r="G72" s="6" t="str">
        <f>VLOOKUP(E72,'Retail Rates'!$B$7:$D$34,3,FALSE)</f>
        <v>CGS</v>
      </c>
      <c r="H72" s="25"/>
      <c r="I72" s="25">
        <f>SUMIFS('Forcasted Customer Cts'!$Y$5:$Y$36,'Forcasted Customer Cts'!$D$5:$D$36,'Jul17-Jun18 Retail'!$E72,'Forcasted Customer Cts'!$C$5:$C$36,'Jul17-Jun18 Retail'!$A$9)</f>
        <v>24097</v>
      </c>
      <c r="J72" s="25">
        <f>SUMIFS('Forcasted Customer Cts'!$Y$5:$Y$36,'Forcasted Customer Cts'!$D$5:$D$36,'Jul17-Jun18 Retail'!$E72,'Forcasted Customer Cts'!$C$5:$C$36,'Jul17-Jun18 Retail'!$B$9)</f>
        <v>1004</v>
      </c>
      <c r="K72" s="25">
        <f>SUMIFS('Forecasted Calendar Month Usage'!$AG$5:$AG$41,'Forecasted Calendar Month Usage'!$D$5:$D$41,'Jul17-Jun18 Retail'!$E72,'Forecasted Calendar Month Usage'!$C$5:$C$41,'Jul17-Jun18 Retail'!$A$11)*10</f>
        <v>6122013.708307202</v>
      </c>
      <c r="L72" s="25">
        <f>SUMIFS('Forecasted Calendar Month Usage'!$AG$5:$AG$41,'Forecasted Calendar Month Usage'!$D$5:$D$41,'Jul17-Jun18 Retail'!$E72,'Forecasted Calendar Month Usage'!$C$5:$C$41,'Jul17-Jun18 Retail'!$B$11)*10</f>
        <v>322129.27709589474</v>
      </c>
      <c r="M72" s="25"/>
      <c r="N72" s="26">
        <f>VLOOKUP($E72,'Retail Rates'!$B$7:$L$34,5,FALSE)</f>
        <v>40</v>
      </c>
      <c r="O72" s="26">
        <f>VLOOKUP($E72,'Retail Rates'!$B$7:$L$34,6,FALSE)</f>
        <v>180</v>
      </c>
      <c r="P72" s="27">
        <f>VLOOKUP($E72,'Retail Rates'!$B$7:$L$34,7,FALSE)</f>
        <v>0.21504000000000001</v>
      </c>
      <c r="Q72" s="27">
        <f>VLOOKUP($E72,'Retail Rates'!$B$7:$L$34,8,FALSE)</f>
        <v>0.16504000000000002</v>
      </c>
      <c r="R72" s="27"/>
      <c r="S72" s="26">
        <f>VLOOKUP($E72,'Retail Rates'!$B$7:$L$34,9,FALSE)</f>
        <v>0</v>
      </c>
      <c r="T72" s="27">
        <f>VLOOKUP($E72,'Retail Rates'!$B$7:$L$34,10,FALSE)</f>
        <v>0</v>
      </c>
      <c r="U72" s="26">
        <f>VLOOKUP($E72,'Retail Rates'!$B$7:$L$34,11,FALSE)</f>
        <v>0</v>
      </c>
      <c r="V72" s="309"/>
      <c r="W72" s="28">
        <f t="shared" si="266"/>
        <v>963880</v>
      </c>
      <c r="X72" s="28"/>
      <c r="Y72" s="28">
        <f>+J72*O72</f>
        <v>180720</v>
      </c>
      <c r="Z72" s="28">
        <f t="shared" si="267"/>
        <v>1316477.8278343808</v>
      </c>
      <c r="AA72" s="28">
        <f t="shared" si="268"/>
        <v>53164.215891906475</v>
      </c>
      <c r="AB72" s="28">
        <f t="shared" si="269"/>
        <v>0</v>
      </c>
      <c r="AC72" s="28"/>
      <c r="AD72" s="28"/>
      <c r="AE72" s="28">
        <f t="shared" si="286"/>
        <v>0</v>
      </c>
      <c r="AF72" s="28">
        <f t="shared" si="270"/>
        <v>0</v>
      </c>
      <c r="AG72" s="48">
        <f ca="1">SUMIFS(Adjustments!H$5:H$557,Adjustments!$B$5:$B$557,'Jul17-Jun18 Retail'!$D72,Adjustments!$C$5:$C$557,'Jul17-Jun18 Retail'!$E72)</f>
        <v>0</v>
      </c>
      <c r="AH72" s="48">
        <f ca="1">SUMIFS(Adjustments!I$5:I$557,Adjustments!$B$5:$B$557,'Jul17-Jun18 Retail'!$D72,Adjustments!$C$5:$C$557,'Jul17-Jun18 Retail'!$E72)</f>
        <v>0</v>
      </c>
      <c r="AI72" s="40">
        <f ca="1">SUMIFS(Adjustments!J$5:J$557,Adjustments!$B$5:$B$557,'Jul17-Jun18 Retail'!$D72,Adjustments!$C$5:$C$557,'Jul17-Jun18 Retail'!$E72)</f>
        <v>0</v>
      </c>
      <c r="AJ72" s="40">
        <f ca="1">SUMIFS(Adjustments!K$5:K$557,Adjustments!$B$5:$B$557,'Jul17-Jun18 Retail'!$D72,Adjustments!$C$5:$C$557,'Jul17-Jun18 Retail'!$E72)</f>
        <v>0</v>
      </c>
      <c r="AK72" s="40">
        <f ca="1">SUMIFS(Adjustments!L$5:L$557,Adjustments!$B$5:$B$557,'Jul17-Jun18 Retail'!$D72,Adjustments!$C$5:$C$557,'Jul17-Jun18 Retail'!$E72)</f>
        <v>0</v>
      </c>
      <c r="AL72" s="40">
        <f ca="1">SUMIFS(Adjustments!M$5:M$557,Adjustments!$B$5:$B$557,'Jul17-Jun18 Retail'!$D72,Adjustments!$C$5:$C$557,'Jul17-Jun18 Retail'!$E72)</f>
        <v>0</v>
      </c>
      <c r="AM72" s="40">
        <f ca="1">SUMIFS(Adjustments!N$5:N$557,Adjustments!$B$5:$B$557,'Jul17-Jun18 Retail'!$D72,Adjustments!$C$5:$C$557,'Jul17-Jun18 Retail'!$E72)</f>
        <v>0</v>
      </c>
      <c r="AN72" s="40">
        <f ca="1">SUMIFS(Adjustments!O$5:O$557,Adjustments!$B$5:$B$557,'Jul17-Jun18 Retail'!$D72,Adjustments!$C$5:$C$557,'Jul17-Jun18 Retail'!$E72)</f>
        <v>0</v>
      </c>
      <c r="AO72" s="40">
        <f ca="1">SUMIFS(Adjustments!P$5:P$557,Adjustments!$B$5:$B$557,'Jul17-Jun18 Retail'!$D72,Adjustments!$C$5:$C$557,'Jul17-Jun18 Retail'!$E72)</f>
        <v>0</v>
      </c>
      <c r="AP72" s="28">
        <f t="shared" ca="1" si="271"/>
        <v>963880</v>
      </c>
      <c r="AQ72" s="28">
        <f t="shared" ca="1" si="272"/>
        <v>180720</v>
      </c>
      <c r="AR72" s="28">
        <f t="shared" ca="1" si="273"/>
        <v>1316477.8278343808</v>
      </c>
      <c r="AS72" s="28">
        <f t="shared" ca="1" si="274"/>
        <v>53164.215891906475</v>
      </c>
      <c r="AT72" s="35">
        <f t="shared" si="275"/>
        <v>3514088.0000088629</v>
      </c>
      <c r="AU72" s="35">
        <f t="shared" si="276"/>
        <v>120103.6911953763</v>
      </c>
      <c r="AV72" s="35"/>
      <c r="AW72" s="35">
        <f t="shared" si="277"/>
        <v>862917.07817308069</v>
      </c>
      <c r="AX72" s="28">
        <f t="shared" ca="1" si="278"/>
        <v>0</v>
      </c>
      <c r="AY72" s="28"/>
      <c r="AZ72" s="35">
        <f t="shared" ref="AZ72:AZ74" ca="1" si="289">ROUND(SUM(AP72:AY72),2)</f>
        <v>7011350.8099999996</v>
      </c>
      <c r="BA72" s="35">
        <f t="shared" ref="BA72:BA74" si="290">SUM(BC72:BJ72)-BF72</f>
        <v>7011350.8130548447</v>
      </c>
      <c r="BB72" s="36">
        <f t="shared" ca="1" si="280"/>
        <v>1</v>
      </c>
      <c r="BC72" s="35">
        <f>SUMIFS('Fin Forecast'!$T$3:$T$600,'Fin Forecast'!$B$3:$B$600,'Jul17-Jun18 Retail'!$E72,'Fin Forecast'!$C$3:$C$600,'Jul17-Jun18 Retail'!$BC$5)*1000</f>
        <v>120103.6911953763</v>
      </c>
      <c r="BD72" s="35">
        <f>SUMIFS('Fin Forecast'!$T$3:$T$600,'Fin Forecast'!$B$3:$B$600,'Jul17-Jun18 Retail'!$E72,'Fin Forecast'!$C$3:$C$600,'Jul17-Jun18 Retail'!$BD$5)*1000</f>
        <v>3514088.0000088629</v>
      </c>
      <c r="BE72" s="35"/>
      <c r="BF72" s="35"/>
      <c r="BG72" s="35">
        <f>SUMIFS('Fin Forecast'!$T$3:$T$600,'Fin Forecast'!$B$3:$B$600,'Jul17-Jun18 Retail'!$E72,'Fin Forecast'!$C$3:$C$600,'Jul17-Jun18 Retail'!$BG$5)*1000</f>
        <v>1144600</v>
      </c>
      <c r="BH72" s="35">
        <f>SUMIFS('Fin Forecast'!$T$3:$T$600,'Fin Forecast'!$B$3:$B$600,'Jul17-Jun18 Retail'!$E72,'Fin Forecast'!$C$3:$C$600,'Jul17-Jun18 Retail'!$BH$5)*1000</f>
        <v>1369642.0436775251</v>
      </c>
      <c r="BI72" s="35">
        <f>SUMIFS('Fin Forecast'!$T$3:$T$600,'Fin Forecast'!$B$3:$B$600,'Jul17-Jun18 Retail'!$E72,'Fin Forecast'!$C$3:$C$600,'Jul17-Jun18 Retail'!$BI$5)*1000</f>
        <v>0</v>
      </c>
      <c r="BJ72" s="35">
        <f>SUMIFS('Fin Forecast'!$T$3:$T$600,'Fin Forecast'!$B$3:$B$600,'Jul17-Jun18 Retail'!$E72,'Fin Forecast'!$C$3:$C$600,'Jul17-Jun18 Retail'!$BJ$5)*1000</f>
        <v>862917.07817308069</v>
      </c>
      <c r="BL72" s="44">
        <f t="shared" ca="1" si="281"/>
        <v>-3.0548451468348503E-3</v>
      </c>
      <c r="BN72" s="49">
        <f t="shared" ca="1" si="282"/>
        <v>0</v>
      </c>
      <c r="BO72" s="49">
        <f t="shared" ca="1" si="283"/>
        <v>4.8762187361717224E-5</v>
      </c>
      <c r="BP72" s="49">
        <f t="shared" si="284"/>
        <v>0</v>
      </c>
    </row>
    <row r="73" spans="1:68" ht="15" x14ac:dyDescent="0.25">
      <c r="A73" s="304"/>
      <c r="B73" s="304"/>
      <c r="C73" s="6">
        <f t="shared" si="288"/>
        <v>58</v>
      </c>
      <c r="D73" s="361">
        <f>$D$70</f>
        <v>43191</v>
      </c>
      <c r="E73" s="361" t="str">
        <f>+'Retail Rates'!$B$20</f>
        <v>LGCMG875</v>
      </c>
      <c r="F73" s="6" t="str">
        <f t="shared" si="285"/>
        <v>875</v>
      </c>
      <c r="G73" s="6" t="str">
        <f>VLOOKUP(E73,'Retail Rates'!$B$7:$D$34,3,FALSE)</f>
        <v>DGGS-C</v>
      </c>
      <c r="H73" s="25">
        <v>1</v>
      </c>
      <c r="I73" s="25"/>
      <c r="J73" s="25"/>
      <c r="K73" s="25">
        <v>6</v>
      </c>
      <c r="L73" s="25"/>
      <c r="M73" s="25">
        <v>483</v>
      </c>
      <c r="N73" s="26">
        <f>VLOOKUP($E73,'Retail Rates'!$B$7:$L$34,5,FALSE)</f>
        <v>40</v>
      </c>
      <c r="O73" s="26">
        <f>VLOOKUP($E73,'Retail Rates'!$B$7:$L$34,6,FALSE)</f>
        <v>180</v>
      </c>
      <c r="P73" s="27">
        <f>VLOOKUP($E73,'Retail Rates'!$B$7:$L$34,7,FALSE)</f>
        <v>3.329E-2</v>
      </c>
      <c r="Q73" s="27">
        <f>VLOOKUP($E73,'Retail Rates'!$B$7:$L$34,8,FALSE)</f>
        <v>0</v>
      </c>
      <c r="R73" s="27"/>
      <c r="S73" s="26">
        <f>VLOOKUP($E73,'Retail Rates'!$B$7:$L$34,9,FALSE)</f>
        <v>0</v>
      </c>
      <c r="T73" s="27">
        <f>VLOOKUP($E73,'Retail Rates'!$B$7:$L$34,10,FALSE)</f>
        <v>0</v>
      </c>
      <c r="U73" s="403">
        <f>VLOOKUP($E73,'Retail Rates'!$B$7:$L$34,11,FALSE)</f>
        <v>1.1263000000000001</v>
      </c>
      <c r="V73" s="309"/>
      <c r="W73" s="28">
        <f t="shared" si="266"/>
        <v>40</v>
      </c>
      <c r="X73" s="28"/>
      <c r="Y73" s="28"/>
      <c r="Z73" s="28">
        <f t="shared" si="267"/>
        <v>0.19974</v>
      </c>
      <c r="AA73" s="28">
        <f t="shared" si="268"/>
        <v>0</v>
      </c>
      <c r="AB73" s="28">
        <f t="shared" si="269"/>
        <v>0</v>
      </c>
      <c r="AC73" s="28"/>
      <c r="AD73" s="28"/>
      <c r="AE73" s="28">
        <f t="shared" si="286"/>
        <v>544.00290000000007</v>
      </c>
      <c r="AF73" s="28">
        <f t="shared" si="270"/>
        <v>0</v>
      </c>
      <c r="AG73" s="48">
        <f ca="1">SUMIFS(Adjustments!H$5:H$557,Adjustments!$B$5:$B$557,'Jul17-Jun18 Retail'!$D73,Adjustments!$C$5:$C$557,'Jul17-Jun18 Retail'!$E73)</f>
        <v>0</v>
      </c>
      <c r="AH73" s="48">
        <f ca="1">SUMIFS(Adjustments!I$5:I$557,Adjustments!$B$5:$B$557,'Jul17-Jun18 Retail'!$D73,Adjustments!$C$5:$C$557,'Jul17-Jun18 Retail'!$E73)</f>
        <v>0</v>
      </c>
      <c r="AI73" s="40">
        <f ca="1">SUMIFS(Adjustments!J$5:J$557,Adjustments!$B$5:$B$557,'Jul17-Jun18 Retail'!$D73,Adjustments!$C$5:$C$557,'Jul17-Jun18 Retail'!$E73)</f>
        <v>0</v>
      </c>
      <c r="AJ73" s="40">
        <f ca="1">SUMIFS(Adjustments!K$5:K$557,Adjustments!$B$5:$B$557,'Jul17-Jun18 Retail'!$D73,Adjustments!$C$5:$C$557,'Jul17-Jun18 Retail'!$E73)</f>
        <v>0</v>
      </c>
      <c r="AK73" s="40">
        <f ca="1">SUMIFS(Adjustments!L$5:L$557,Adjustments!$B$5:$B$557,'Jul17-Jun18 Retail'!$D73,Adjustments!$C$5:$C$557,'Jul17-Jun18 Retail'!$E73)</f>
        <v>0</v>
      </c>
      <c r="AL73" s="40">
        <f ca="1">SUMIFS(Adjustments!M$5:M$557,Adjustments!$B$5:$B$557,'Jul17-Jun18 Retail'!$D73,Adjustments!$C$5:$C$557,'Jul17-Jun18 Retail'!$E73)</f>
        <v>0</v>
      </c>
      <c r="AM73" s="40">
        <f ca="1">SUMIFS(Adjustments!N$5:N$557,Adjustments!$B$5:$B$557,'Jul17-Jun18 Retail'!$D73,Adjustments!$C$5:$C$557,'Jul17-Jun18 Retail'!$E73)</f>
        <v>0</v>
      </c>
      <c r="AN73" s="40">
        <f ca="1">SUMIFS(Adjustments!O$5:O$557,Adjustments!$B$5:$B$557,'Jul17-Jun18 Retail'!$D73,Adjustments!$C$5:$C$557,'Jul17-Jun18 Retail'!$E73)</f>
        <v>0</v>
      </c>
      <c r="AO73" s="40">
        <f ca="1">SUMIFS(Adjustments!P$5:P$557,Adjustments!$B$5:$B$557,'Jul17-Jun18 Retail'!$D73,Adjustments!$C$5:$C$557,'Jul17-Jun18 Retail'!$E73)</f>
        <v>0</v>
      </c>
      <c r="AP73" s="28">
        <f t="shared" ca="1" si="271"/>
        <v>40</v>
      </c>
      <c r="AQ73" s="28">
        <f t="shared" ca="1" si="272"/>
        <v>0</v>
      </c>
      <c r="AR73" s="28">
        <f t="shared" ca="1" si="273"/>
        <v>0.19974</v>
      </c>
      <c r="AS73" s="28">
        <f t="shared" ca="1" si="274"/>
        <v>0</v>
      </c>
      <c r="AT73" s="35">
        <f t="shared" si="275"/>
        <v>3.2718901564659499</v>
      </c>
      <c r="AU73" s="35">
        <f t="shared" si="276"/>
        <v>0.11182590902003199</v>
      </c>
      <c r="AV73" s="35"/>
      <c r="AW73" s="35">
        <f t="shared" si="277"/>
        <v>0</v>
      </c>
      <c r="AX73" s="28">
        <f t="shared" ca="1" si="278"/>
        <v>544.00290000000007</v>
      </c>
      <c r="AY73" s="28"/>
      <c r="AZ73" s="35">
        <f t="shared" ca="1" si="289"/>
        <v>587.59</v>
      </c>
      <c r="BA73" s="35">
        <f t="shared" si="290"/>
        <v>587.58635606548592</v>
      </c>
      <c r="BB73" s="36">
        <f t="shared" ca="1" si="280"/>
        <v>0.99999400000000005</v>
      </c>
      <c r="BC73" s="35">
        <f>SUMIFS('Fin Forecast'!$T$3:$T$600,'Fin Forecast'!$B$3:$B$600,'Jul17-Jun18 Retail'!$E73,'Fin Forecast'!$C$3:$C$600,'Jul17-Jun18 Retail'!$BC$5)*1000</f>
        <v>0.11182590902003199</v>
      </c>
      <c r="BD73" s="35">
        <f>SUMIFS('Fin Forecast'!$T$3:$T$600,'Fin Forecast'!$B$3:$B$600,'Jul17-Jun18 Retail'!$E73,'Fin Forecast'!$C$3:$C$600,'Jul17-Jun18 Retail'!$BD$5)*1000</f>
        <v>3.2718901564659499</v>
      </c>
      <c r="BE73" s="35"/>
      <c r="BF73" s="35"/>
      <c r="BG73" s="35">
        <f>SUMIFS('Fin Forecast'!$T$3:$T$600,'Fin Forecast'!$B$3:$B$600,'Jul17-Jun18 Retail'!$E73,'Fin Forecast'!$C$3:$C$600,'Jul17-Jun18 Retail'!$BG$5)*1000</f>
        <v>40</v>
      </c>
      <c r="BH73" s="35">
        <f>SUMIFS('Fin Forecast'!$T$3:$T$600,'Fin Forecast'!$B$3:$B$600,'Jul17-Jun18 Retail'!$E73,'Fin Forecast'!$C$3:$C$600,'Jul17-Jun18 Retail'!$BH$5)*1000</f>
        <v>0.199739999999999</v>
      </c>
      <c r="BI73" s="35">
        <f>SUMIFS('Fin Forecast'!$T$3:$T$600,'Fin Forecast'!$B$3:$B$600,'Jul17-Jun18 Retail'!$E73,'Fin Forecast'!$C$3:$C$600,'Jul17-Jun18 Retail'!$BI$5)*1000</f>
        <v>544.00289999999995</v>
      </c>
      <c r="BJ73" s="35">
        <f>SUMIFS('Fin Forecast'!$T$3:$T$600,'Fin Forecast'!$B$3:$B$600,'Jul17-Jun18 Retail'!$E73,'Fin Forecast'!$C$3:$C$600,'Jul17-Jun18 Retail'!$BJ$5)*1000</f>
        <v>0</v>
      </c>
      <c r="BL73" s="44">
        <f t="shared" ca="1" si="281"/>
        <v>3.6439345141161539E-3</v>
      </c>
      <c r="BN73" s="49">
        <f t="shared" ca="1" si="282"/>
        <v>0</v>
      </c>
      <c r="BO73" s="49">
        <f t="shared" ca="1" si="283"/>
        <v>9.9920072216264089E-16</v>
      </c>
      <c r="BP73" s="49">
        <f t="shared" si="284"/>
        <v>0</v>
      </c>
    </row>
    <row r="74" spans="1:68" ht="15" x14ac:dyDescent="0.25">
      <c r="A74" s="13" t="s">
        <v>445</v>
      </c>
      <c r="B74" s="13" t="s">
        <v>446</v>
      </c>
      <c r="C74" s="6">
        <f t="shared" si="288"/>
        <v>59</v>
      </c>
      <c r="D74" s="361">
        <f>$D$70</f>
        <v>43191</v>
      </c>
      <c r="E74" s="361" t="str">
        <f>+'Retail Rates'!$B$26</f>
        <v>LGING855</v>
      </c>
      <c r="F74" s="6" t="str">
        <f t="shared" si="285"/>
        <v>855</v>
      </c>
      <c r="G74" s="6" t="s">
        <v>111</v>
      </c>
      <c r="H74" s="25"/>
      <c r="I74" s="25">
        <f>SUMIFS('Forcasted Customer Cts'!$Y$5:$Y$36,'Forcasted Customer Cts'!$D$5:$D$36,'Jul17-Jun18 Retail'!$E74,'Forcasted Customer Cts'!$C$5:$C$36,'Jul17-Jun18 Retail'!$A$9)</f>
        <v>148</v>
      </c>
      <c r="J74" s="25">
        <f>SUMIFS('Forcasted Customer Cts'!$Y$5:$Y$36,'Forcasted Customer Cts'!$D$5:$D$36,'Jul17-Jun18 Retail'!$E74,'Forcasted Customer Cts'!$C$5:$C$36,'Jul17-Jun18 Retail'!$B$9)</f>
        <v>116</v>
      </c>
      <c r="K74" s="25">
        <f>SUMIFS('Forecasted Calendar Month Usage'!$AG$5:$AG$41,'Forecasted Calendar Month Usage'!$D$5:$D$41,'Jul17-Jun18 Retail'!$E74,'Forecasted Calendar Month Usage'!$C$5:$C$41,'Jul17-Jun18 Retail'!$A$11)*10</f>
        <v>609739.2353857191</v>
      </c>
      <c r="L74" s="25">
        <f>SUMIFS('Forecasted Calendar Month Usage'!$AG$5:$AG$41,'Forecasted Calendar Month Usage'!$D$5:$D$41,'Jul17-Jun18 Retail'!$E74,'Forecasted Calendar Month Usage'!$C$5:$C$41,'Jul17-Jun18 Retail'!$B$11)*10</f>
        <v>349324.15361540212</v>
      </c>
      <c r="M74" s="25"/>
      <c r="N74" s="26">
        <f>VLOOKUP($E74,'Retail Rates'!$B$7:$L$34,5,FALSE)</f>
        <v>40</v>
      </c>
      <c r="O74" s="26">
        <f>VLOOKUP($E74,'Retail Rates'!$B$7:$L$34,6,FALSE)</f>
        <v>180</v>
      </c>
      <c r="P74" s="27">
        <f>VLOOKUP($E74,'Retail Rates'!$B$7:$L$34,7,FALSE)</f>
        <v>0.22778999999999999</v>
      </c>
      <c r="Q74" s="27">
        <f>VLOOKUP($E74,'Retail Rates'!$B$7:$L$34,8,FALSE)</f>
        <v>0.17779</v>
      </c>
      <c r="R74" s="27"/>
      <c r="S74" s="26">
        <f>VLOOKUP($E74,'Retail Rates'!$B$7:$L$34,9,FALSE)</f>
        <v>0</v>
      </c>
      <c r="T74" s="27">
        <f>VLOOKUP($E74,'Retail Rates'!$B$7:$L$34,10,FALSE)</f>
        <v>0</v>
      </c>
      <c r="U74" s="26">
        <f>VLOOKUP($E74,'Retail Rates'!$B$7:$L$34,11,FALSE)</f>
        <v>0</v>
      </c>
      <c r="V74" s="309"/>
      <c r="W74" s="28">
        <f t="shared" si="266"/>
        <v>5920</v>
      </c>
      <c r="X74" s="28"/>
      <c r="Y74" s="28">
        <f t="shared" ref="Y74" si="291">+J74*O74</f>
        <v>20880</v>
      </c>
      <c r="Z74" s="28">
        <f t="shared" si="267"/>
        <v>138892.50042851295</v>
      </c>
      <c r="AA74" s="28">
        <f t="shared" si="268"/>
        <v>62106.341271282341</v>
      </c>
      <c r="AB74" s="28">
        <f t="shared" si="269"/>
        <v>0</v>
      </c>
      <c r="AC74" s="28"/>
      <c r="AD74" s="28"/>
      <c r="AE74" s="28">
        <f t="shared" si="286"/>
        <v>0</v>
      </c>
      <c r="AF74" s="28">
        <f>(+I74*V74)+(J74*V74)</f>
        <v>0</v>
      </c>
      <c r="AG74" s="48">
        <f ca="1">SUMIFS(Adjustments!H$5:H$557,Adjustments!$B$5:$B$557,'Jul17-Jun18 Retail'!$D74,Adjustments!$C$5:$C$557,'Jul17-Jun18 Retail'!$E74)</f>
        <v>0</v>
      </c>
      <c r="AH74" s="48">
        <f ca="1">SUMIFS(Adjustments!I$5:I$557,Adjustments!$B$5:$B$557,'Jul17-Jun18 Retail'!$D74,Adjustments!$C$5:$C$557,'Jul17-Jun18 Retail'!$E74)</f>
        <v>0</v>
      </c>
      <c r="AI74" s="40">
        <f ca="1">SUMIFS(Adjustments!J$5:J$557,Adjustments!$B$5:$B$557,'Jul17-Jun18 Retail'!$D74,Adjustments!$C$5:$C$557,'Jul17-Jun18 Retail'!$E74)</f>
        <v>0</v>
      </c>
      <c r="AJ74" s="40">
        <f ca="1">SUMIFS(Adjustments!K$5:K$557,Adjustments!$B$5:$B$557,'Jul17-Jun18 Retail'!$D74,Adjustments!$C$5:$C$557,'Jul17-Jun18 Retail'!$E74)</f>
        <v>0</v>
      </c>
      <c r="AK74" s="40">
        <f ca="1">SUMIFS(Adjustments!L$5:L$557,Adjustments!$B$5:$B$557,'Jul17-Jun18 Retail'!$D74,Adjustments!$C$5:$C$557,'Jul17-Jun18 Retail'!$E74)</f>
        <v>0</v>
      </c>
      <c r="AL74" s="40">
        <f ca="1">SUMIFS(Adjustments!M$5:M$557,Adjustments!$B$5:$B$557,'Jul17-Jun18 Retail'!$D74,Adjustments!$C$5:$C$557,'Jul17-Jun18 Retail'!$E74)</f>
        <v>0</v>
      </c>
      <c r="AM74" s="40">
        <f ca="1">SUMIFS(Adjustments!N$5:N$557,Adjustments!$B$5:$B$557,'Jul17-Jun18 Retail'!$D74,Adjustments!$C$5:$C$557,'Jul17-Jun18 Retail'!$E74)</f>
        <v>0</v>
      </c>
      <c r="AN74" s="40">
        <f ca="1">SUMIFS(Adjustments!O$5:O$557,Adjustments!$B$5:$B$557,'Jul17-Jun18 Retail'!$D74,Adjustments!$C$5:$C$557,'Jul17-Jun18 Retail'!$E74)</f>
        <v>0</v>
      </c>
      <c r="AO74" s="40">
        <f ca="1">SUMIFS(Adjustments!P$5:P$557,Adjustments!$B$5:$B$557,'Jul17-Jun18 Retail'!$D74,Adjustments!$C$5:$C$557,'Jul17-Jun18 Retail'!$E74)</f>
        <v>0</v>
      </c>
      <c r="AP74" s="28">
        <f t="shared" ca="1" si="271"/>
        <v>5920</v>
      </c>
      <c r="AQ74" s="28">
        <f t="shared" ca="1" si="272"/>
        <v>20880</v>
      </c>
      <c r="AR74" s="28">
        <f t="shared" ca="1" si="273"/>
        <v>138892.50042851295</v>
      </c>
      <c r="AS74" s="28">
        <f t="shared" ca="1" si="274"/>
        <v>62106.341271282341</v>
      </c>
      <c r="AT74" s="35">
        <f t="shared" si="275"/>
        <v>522991.67696521297</v>
      </c>
      <c r="AU74" s="35">
        <f t="shared" si="276"/>
        <v>0</v>
      </c>
      <c r="AV74" s="35"/>
      <c r="AW74" s="35">
        <f t="shared" si="277"/>
        <v>80138.661311503689</v>
      </c>
      <c r="AX74" s="28">
        <f t="shared" ca="1" si="278"/>
        <v>0</v>
      </c>
      <c r="AY74" s="28"/>
      <c r="AZ74" s="35">
        <f t="shared" ca="1" si="289"/>
        <v>830929.18</v>
      </c>
      <c r="BA74" s="35">
        <f t="shared" si="290"/>
        <v>830929.1799708365</v>
      </c>
      <c r="BB74" s="36">
        <f t="shared" ca="1" si="280"/>
        <v>1</v>
      </c>
      <c r="BC74" s="35">
        <f>SUMIFS('Fin Forecast'!$T$3:$T$600,'Fin Forecast'!$B$3:$B$600,'Jul17-Jun18 Retail'!$E74,'Fin Forecast'!$C$3:$C$600,'Jul17-Jun18 Retail'!$BC$5)*1000</f>
        <v>0</v>
      </c>
      <c r="BD74" s="35">
        <f>SUMIFS('Fin Forecast'!$T$3:$T$600,'Fin Forecast'!$B$3:$B$600,'Jul17-Jun18 Retail'!$E74,'Fin Forecast'!$C$3:$C$600,'Jul17-Jun18 Retail'!$BD$5)*1000</f>
        <v>522991.67696521297</v>
      </c>
      <c r="BE74" s="35"/>
      <c r="BF74" s="35"/>
      <c r="BG74" s="35">
        <f>SUMIFS('Fin Forecast'!$T$3:$T$600,'Fin Forecast'!$B$3:$B$600,'Jul17-Jun18 Retail'!$E74,'Fin Forecast'!$C$3:$C$600,'Jul17-Jun18 Retail'!$BG$5)*1000</f>
        <v>26800</v>
      </c>
      <c r="BH74" s="35">
        <f>SUMIFS('Fin Forecast'!$T$3:$T$600,'Fin Forecast'!$B$3:$B$600,'Jul17-Jun18 Retail'!$E74,'Fin Forecast'!$C$3:$C$600,'Jul17-Jun18 Retail'!$BH$5)*1000</f>
        <v>200998.84169411982</v>
      </c>
      <c r="BI74" s="35">
        <f>SUMIFS('Fin Forecast'!$T$3:$T$600,'Fin Forecast'!$B$3:$B$600,'Jul17-Jun18 Retail'!$E74,'Fin Forecast'!$C$3:$C$600,'Jul17-Jun18 Retail'!$BI$5)*1000</f>
        <v>0</v>
      </c>
      <c r="BJ74" s="35">
        <f>SUMIFS('Fin Forecast'!$T$3:$T$600,'Fin Forecast'!$B$3:$B$600,'Jul17-Jun18 Retail'!$E74,'Fin Forecast'!$C$3:$C$600,'Jul17-Jun18 Retail'!$BJ$5)*1000</f>
        <v>80138.661311503689</v>
      </c>
      <c r="BL74" s="44">
        <f t="shared" ca="1" si="281"/>
        <v>2.9163551516830921E-5</v>
      </c>
      <c r="BN74" s="49">
        <f t="shared" ca="1" si="282"/>
        <v>0</v>
      </c>
      <c r="BO74" s="49">
        <f t="shared" ca="1" si="283"/>
        <v>5.6754797697067261E-6</v>
      </c>
      <c r="BP74" s="49">
        <f t="shared" si="284"/>
        <v>0</v>
      </c>
    </row>
    <row r="75" spans="1:68" ht="15" x14ac:dyDescent="0.25">
      <c r="C75" s="6">
        <f t="shared" si="288"/>
        <v>60</v>
      </c>
      <c r="D75" s="361">
        <f>$D$70</f>
        <v>43191</v>
      </c>
      <c r="E75" s="361" t="str">
        <f>+'Retail Rates'!$B$31</f>
        <v>LGRSG811</v>
      </c>
      <c r="F75" s="6" t="str">
        <f t="shared" si="285"/>
        <v>811</v>
      </c>
      <c r="G75" s="6" t="str">
        <f>VLOOKUP(E75,'Retail Rates'!$B$7:$D$34,3,FALSE)</f>
        <v>RGS</v>
      </c>
      <c r="H75" s="25">
        <f>SUMIF('Forcasted Customer Cts'!$D$5:$D$36,'Jul17-Jun18 Retail'!$E75,'Forcasted Customer Cts'!$Y$5:$Y$36)</f>
        <v>297132</v>
      </c>
      <c r="I75" s="25"/>
      <c r="J75" s="25"/>
      <c r="K75" s="25">
        <f>SUMIF('Forecasted Calendar Month Usage'!$D$5:$D$41,'Jul17-Jun18 Retail'!$E75,'Forecasted Calendar Month Usage'!$AG$5:$AG$41)*10</f>
        <v>11262735.954044515</v>
      </c>
      <c r="L75" s="25"/>
      <c r="M75" s="25"/>
      <c r="N75" s="26">
        <f>VLOOKUP($E75,'Retail Rates'!$B$7:$L$34,5,FALSE)</f>
        <v>13.5</v>
      </c>
      <c r="O75" s="26">
        <f>VLOOKUP($E75,'Retail Rates'!$B$7:$L$34,6,FALSE)</f>
        <v>0</v>
      </c>
      <c r="P75" s="27">
        <f>VLOOKUP($E75,'Retail Rates'!$B$7:$L$34,7,FALSE)</f>
        <v>0.28693000000000002</v>
      </c>
      <c r="Q75" s="27">
        <f>VLOOKUP($E75,'Retail Rates'!$B$7:$L$34,8,FALSE)</f>
        <v>0</v>
      </c>
      <c r="R75" s="27"/>
      <c r="S75" s="26">
        <f>VLOOKUP($E75,'Retail Rates'!$B$7:$L$34,9,FALSE)</f>
        <v>0</v>
      </c>
      <c r="T75" s="27">
        <f>VLOOKUP($E75,'Retail Rates'!$B$7:$L$34,10,FALSE)</f>
        <v>0</v>
      </c>
      <c r="U75" s="26">
        <f>VLOOKUP($E75,'Retail Rates'!$B$7:$L$34,11,FALSE)</f>
        <v>0</v>
      </c>
      <c r="V75" s="309"/>
      <c r="W75" s="28">
        <f t="shared" si="266"/>
        <v>4011282</v>
      </c>
      <c r="X75" s="28"/>
      <c r="Y75" s="28"/>
      <c r="Z75" s="28">
        <f t="shared" si="267"/>
        <v>3231616.827293993</v>
      </c>
      <c r="AA75" s="28">
        <f t="shared" si="268"/>
        <v>0</v>
      </c>
      <c r="AB75" s="28">
        <f t="shared" si="269"/>
        <v>0</v>
      </c>
      <c r="AC75" s="28"/>
      <c r="AD75" s="28"/>
      <c r="AE75" s="28">
        <f t="shared" si="286"/>
        <v>0</v>
      </c>
      <c r="AF75" s="28">
        <f t="shared" ref="AF75" si="292">(+H75*V75)+(I75*V75)</f>
        <v>0</v>
      </c>
      <c r="AG75" s="48">
        <f ca="1">SUMIFS(Adjustments!H$5:H$557,Adjustments!$B$5:$B$557,'Jul17-Jun18 Retail'!$D75,Adjustments!$C$5:$C$557,'Jul17-Jun18 Retail'!$E75)</f>
        <v>0</v>
      </c>
      <c r="AH75" s="48">
        <f ca="1">SUMIFS(Adjustments!I$5:I$557,Adjustments!$B$5:$B$557,'Jul17-Jun18 Retail'!$D75,Adjustments!$C$5:$C$557,'Jul17-Jun18 Retail'!$E75)</f>
        <v>0</v>
      </c>
      <c r="AI75" s="40">
        <f ca="1">SUMIFS(Adjustments!J$5:J$557,Adjustments!$B$5:$B$557,'Jul17-Jun18 Retail'!$D75,Adjustments!$C$5:$C$557,'Jul17-Jun18 Retail'!$E75)</f>
        <v>0</v>
      </c>
      <c r="AJ75" s="40">
        <f ca="1">SUMIFS(Adjustments!K$5:K$557,Adjustments!$B$5:$B$557,'Jul17-Jun18 Retail'!$D75,Adjustments!$C$5:$C$557,'Jul17-Jun18 Retail'!$E75)</f>
        <v>0</v>
      </c>
      <c r="AK75" s="40">
        <f ca="1">SUMIFS(Adjustments!L$5:L$557,Adjustments!$B$5:$B$557,'Jul17-Jun18 Retail'!$D75,Adjustments!$C$5:$C$557,'Jul17-Jun18 Retail'!$E75)</f>
        <v>0</v>
      </c>
      <c r="AL75" s="40">
        <f ca="1">SUMIFS(Adjustments!M$5:M$557,Adjustments!$B$5:$B$557,'Jul17-Jun18 Retail'!$D75,Adjustments!$C$5:$C$557,'Jul17-Jun18 Retail'!$E75)</f>
        <v>0</v>
      </c>
      <c r="AM75" s="40">
        <f ca="1">SUMIFS(Adjustments!N$5:N$557,Adjustments!$B$5:$B$557,'Jul17-Jun18 Retail'!$D75,Adjustments!$C$5:$C$557,'Jul17-Jun18 Retail'!$E75)</f>
        <v>0</v>
      </c>
      <c r="AN75" s="40">
        <f ca="1">SUMIFS(Adjustments!O$5:O$557,Adjustments!$B$5:$B$557,'Jul17-Jun18 Retail'!$D75,Adjustments!$C$5:$C$557,'Jul17-Jun18 Retail'!$E75)</f>
        <v>0</v>
      </c>
      <c r="AO75" s="40">
        <f ca="1">SUMIFS(Adjustments!P$5:P$557,Adjustments!$B$5:$B$557,'Jul17-Jun18 Retail'!$D75,Adjustments!$C$5:$C$557,'Jul17-Jun18 Retail'!$E75)</f>
        <v>0</v>
      </c>
      <c r="AP75" s="28">
        <f t="shared" ref="AP75" ca="1" si="293">+W75+AI75+(AG75*N75)</f>
        <v>4011282</v>
      </c>
      <c r="AQ75" s="28">
        <f t="shared" ca="1" si="272"/>
        <v>0</v>
      </c>
      <c r="AR75" s="28">
        <f t="shared" ca="1" si="273"/>
        <v>3231616.827293993</v>
      </c>
      <c r="AS75" s="28">
        <f t="shared" ca="1" si="274"/>
        <v>0</v>
      </c>
      <c r="AT75" s="35">
        <f t="shared" si="275"/>
        <v>6141739.1494906396</v>
      </c>
      <c r="AU75" s="35">
        <f t="shared" si="276"/>
        <v>209910.9476516</v>
      </c>
      <c r="AV75" s="35"/>
      <c r="AW75" s="35">
        <f t="shared" si="277"/>
        <v>2011706.5879422801</v>
      </c>
      <c r="AX75" s="28">
        <f t="shared" ca="1" si="278"/>
        <v>0</v>
      </c>
      <c r="AY75" s="28"/>
      <c r="AZ75" s="35">
        <f t="shared" ref="AZ75" ca="1" si="294">ROUND(SUM(AP75:AY75),2)</f>
        <v>15606255.51</v>
      </c>
      <c r="BA75" s="35">
        <f t="shared" ref="BA75" si="295">SUM(BC75:BJ75)-BF75</f>
        <v>15606255.511855001</v>
      </c>
      <c r="BB75" s="36">
        <f t="shared" ca="1" si="280"/>
        <v>1</v>
      </c>
      <c r="BC75" s="35">
        <f>SUMIFS('Fin Forecast'!$T$3:$T$600,'Fin Forecast'!$B$3:$B$600,'Jul17-Jun18 Retail'!$E75,'Fin Forecast'!$C$3:$C$600,'Jul17-Jun18 Retail'!$BC$5)*1000</f>
        <v>209910.9476516</v>
      </c>
      <c r="BD75" s="35">
        <f>SUMIFS('Fin Forecast'!$T$3:$T$600,'Fin Forecast'!$B$3:$B$600,'Jul17-Jun18 Retail'!$E75,'Fin Forecast'!$C$3:$C$600,'Jul17-Jun18 Retail'!$BD$5)*1000</f>
        <v>6141739.1494906396</v>
      </c>
      <c r="BE75" s="35"/>
      <c r="BF75" s="35"/>
      <c r="BG75" s="35">
        <f>SUMIFS('Fin Forecast'!$T$3:$T$600,'Fin Forecast'!$B$3:$B$600,'Jul17-Jun18 Retail'!$E75,'Fin Forecast'!$C$3:$C$600,'Jul17-Jun18 Retail'!$BG$5)*1000</f>
        <v>4011282</v>
      </c>
      <c r="BH75" s="35">
        <f>SUMIFS('Fin Forecast'!$T$3:$T$600,'Fin Forecast'!$B$3:$B$600,'Jul17-Jun18 Retail'!$E75,'Fin Forecast'!$C$3:$C$600,'Jul17-Jun18 Retail'!$BH$5)*1000</f>
        <v>3231616.8267704803</v>
      </c>
      <c r="BI75" s="35">
        <f>SUMIFS('Fin Forecast'!$T$3:$T$600,'Fin Forecast'!$B$3:$B$600,'Jul17-Jun18 Retail'!$E75,'Fin Forecast'!$C$3:$C$600,'Jul17-Jun18 Retail'!$BI$5)*1000</f>
        <v>0</v>
      </c>
      <c r="BJ75" s="35">
        <f>SUMIFS('Fin Forecast'!$T$3:$T$600,'Fin Forecast'!$B$3:$B$600,'Jul17-Jun18 Retail'!$E75,'Fin Forecast'!$C$3:$C$600,'Jul17-Jun18 Retail'!$BJ$5)*1000</f>
        <v>2011706.5879422801</v>
      </c>
      <c r="BL75" s="44">
        <f t="shared" ca="1" si="281"/>
        <v>-1.8550008535385132E-3</v>
      </c>
      <c r="BN75" s="49">
        <f t="shared" ca="1" si="282"/>
        <v>0</v>
      </c>
      <c r="BO75" s="49">
        <f t="shared" ca="1" si="283"/>
        <v>5.2351271733641624E-4</v>
      </c>
      <c r="BP75" s="49">
        <f t="shared" si="284"/>
        <v>0</v>
      </c>
    </row>
    <row r="76" spans="1:68" s="323" customFormat="1" ht="15" x14ac:dyDescent="0.25">
      <c r="C76" s="324"/>
      <c r="D76" s="362"/>
      <c r="E76" s="362"/>
      <c r="F76" s="324"/>
      <c r="G76" s="324"/>
      <c r="N76" s="326"/>
      <c r="O76" s="326"/>
      <c r="P76" s="327"/>
      <c r="Q76" s="327"/>
      <c r="R76" s="327"/>
      <c r="S76" s="326"/>
      <c r="T76" s="327"/>
      <c r="U76" s="327"/>
      <c r="V76" s="328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30"/>
      <c r="AH76" s="330"/>
      <c r="AI76" s="329"/>
      <c r="AJ76" s="329"/>
      <c r="AK76" s="329"/>
      <c r="AL76" s="329"/>
      <c r="AM76" s="329"/>
      <c r="AN76" s="329"/>
      <c r="AO76" s="329"/>
      <c r="AP76" s="341"/>
      <c r="AQ76" s="341"/>
      <c r="AR76" s="341"/>
      <c r="AS76" s="341"/>
      <c r="AT76" s="329"/>
      <c r="AU76" s="329"/>
      <c r="AV76" s="329"/>
      <c r="AW76" s="329"/>
      <c r="AX76" s="329"/>
      <c r="AY76" s="329"/>
      <c r="AZ76" s="329"/>
      <c r="BA76" s="329"/>
      <c r="BB76" s="331"/>
      <c r="BC76" s="341"/>
      <c r="BD76" s="341"/>
      <c r="BE76" s="341"/>
      <c r="BF76" s="341"/>
      <c r="BG76" s="341"/>
      <c r="BH76" s="341"/>
      <c r="BI76" s="341"/>
      <c r="BJ76" s="341"/>
      <c r="BL76" s="329"/>
      <c r="BN76" s="329"/>
      <c r="BO76" s="329"/>
      <c r="BP76" s="329"/>
    </row>
    <row r="77" spans="1:68" ht="15" x14ac:dyDescent="0.25">
      <c r="C77" s="6">
        <f>C75+1</f>
        <v>61</v>
      </c>
      <c r="D77" s="361">
        <f>EDATE(D70,1)</f>
        <v>43221</v>
      </c>
      <c r="E77" s="361" t="str">
        <f>+'Retail Rates'!$B$7</f>
        <v>LGCMG865</v>
      </c>
      <c r="F77" s="6" t="str">
        <f>MID(E77,6,3)</f>
        <v>865</v>
      </c>
      <c r="G77" s="6" t="str">
        <f>VLOOKUP(E77,'Retail Rates'!$B$7:$D$34,3,FALSE)</f>
        <v>AAGS-C</v>
      </c>
      <c r="H77" s="25">
        <f>SUMIF('Forcasted Customer Cts'!$D$5:$D$36,'Jul17-Jun18 Retail'!$E77,'Forcasted Customer Cts'!$Z$5:$Z$36)</f>
        <v>4</v>
      </c>
      <c r="I77" s="25"/>
      <c r="J77" s="25"/>
      <c r="K77" s="25">
        <f>SUMIF('Forecasted Calendar Month Usage'!$D$5:$D$41,'Jul17-Jun18 Retail'!$E77,'Forecasted Calendar Month Usage'!$AH$5:$AH$41)*10</f>
        <v>82660.085769953701</v>
      </c>
      <c r="L77" s="25"/>
      <c r="M77" s="25"/>
      <c r="N77" s="26">
        <f>VLOOKUP($E77,'Retail Rates'!$B$7:$L$34,5,FALSE)</f>
        <v>400</v>
      </c>
      <c r="O77" s="26">
        <f>VLOOKUP($E77,'Retail Rates'!$B$7:$L$34,6,FALSE)</f>
        <v>0</v>
      </c>
      <c r="P77" s="27">
        <f>VLOOKUP($E77,'Retail Rates'!$B$7:$L$34,7,FALSE)</f>
        <v>7.009E-2</v>
      </c>
      <c r="Q77" s="27">
        <f>VLOOKUP($E77,'Retail Rates'!$B$7:$L$34,8,FALSE)</f>
        <v>0</v>
      </c>
      <c r="R77" s="27"/>
      <c r="S77" s="26">
        <f>VLOOKUP($E77,'Retail Rates'!$B$7:$L$34,9,FALSE)</f>
        <v>0</v>
      </c>
      <c r="T77" s="27">
        <f>VLOOKUP($E77,'Retail Rates'!$B$7:$L$34,10,FALSE)</f>
        <v>0</v>
      </c>
      <c r="U77" s="26">
        <f>VLOOKUP($E77,'Retail Rates'!$B$7:$L$34,11,FALSE)</f>
        <v>0</v>
      </c>
      <c r="V77" s="309"/>
      <c r="W77" s="28">
        <f t="shared" ref="W77:W82" si="296">(+H77*N77)+(I77*N77)</f>
        <v>1600</v>
      </c>
      <c r="X77" s="28"/>
      <c r="Y77" s="28"/>
      <c r="Z77" s="28">
        <f t="shared" ref="Z77:Z82" si="297">+K77*P77</f>
        <v>5793.6454116160548</v>
      </c>
      <c r="AA77" s="28">
        <f t="shared" ref="AA77:AA82" si="298">+L77*Q77</f>
        <v>0</v>
      </c>
      <c r="AB77" s="28">
        <f t="shared" ref="AB77:AB82" si="299">SUM(K77:L77)*R77</f>
        <v>0</v>
      </c>
      <c r="AC77" s="28"/>
      <c r="AD77" s="28"/>
      <c r="AE77" s="28">
        <f>M77*U77</f>
        <v>0</v>
      </c>
      <c r="AF77" s="28">
        <f t="shared" ref="AF77:AF80" si="300">(+H77*V77)+(I77*V77)</f>
        <v>0</v>
      </c>
      <c r="AG77" s="48">
        <f ca="1">SUMIFS(Adjustments!H$5:H$557,Adjustments!$B$5:$B$557,'Jul17-Jun18 Retail'!$D77,Adjustments!$C$5:$C$557,'Jul17-Jun18 Retail'!$E77)</f>
        <v>0</v>
      </c>
      <c r="AH77" s="48">
        <f ca="1">SUMIFS(Adjustments!I$5:I$557,Adjustments!$B$5:$B$557,'Jul17-Jun18 Retail'!$D77,Adjustments!$C$5:$C$557,'Jul17-Jun18 Retail'!$E77)</f>
        <v>0</v>
      </c>
      <c r="AI77" s="40">
        <f ca="1">SUMIFS(Adjustments!J$5:J$557,Adjustments!$B$5:$B$557,'Jul17-Jun18 Retail'!$D77,Adjustments!$C$5:$C$557,'Jul17-Jun18 Retail'!$E77)</f>
        <v>0</v>
      </c>
      <c r="AJ77" s="40">
        <f ca="1">SUMIFS(Adjustments!K$5:K$557,Adjustments!$B$5:$B$557,'Jul17-Jun18 Retail'!$D77,Adjustments!$C$5:$C$557,'Jul17-Jun18 Retail'!$E77)</f>
        <v>0</v>
      </c>
      <c r="AK77" s="40">
        <f ca="1">SUMIFS(Adjustments!L$5:L$557,Adjustments!$B$5:$B$557,'Jul17-Jun18 Retail'!$D77,Adjustments!$C$5:$C$557,'Jul17-Jun18 Retail'!$E77)</f>
        <v>0</v>
      </c>
      <c r="AL77" s="40">
        <f ca="1">SUMIFS(Adjustments!M$5:M$557,Adjustments!$B$5:$B$557,'Jul17-Jun18 Retail'!$D77,Adjustments!$C$5:$C$557,'Jul17-Jun18 Retail'!$E77)</f>
        <v>0</v>
      </c>
      <c r="AM77" s="40">
        <f ca="1">SUMIFS(Adjustments!N$5:N$557,Adjustments!$B$5:$B$557,'Jul17-Jun18 Retail'!$D77,Adjustments!$C$5:$C$557,'Jul17-Jun18 Retail'!$E77)</f>
        <v>0</v>
      </c>
      <c r="AN77" s="40">
        <f ca="1">SUMIFS(Adjustments!O$5:O$557,Adjustments!$B$5:$B$557,'Jul17-Jun18 Retail'!$D77,Adjustments!$C$5:$C$557,'Jul17-Jun18 Retail'!$E77)</f>
        <v>0</v>
      </c>
      <c r="AO77" s="40">
        <f ca="1">SUMIFS(Adjustments!P$5:P$557,Adjustments!$B$5:$B$557,'Jul17-Jun18 Retail'!$D77,Adjustments!$C$5:$C$557,'Jul17-Jun18 Retail'!$E77)</f>
        <v>0</v>
      </c>
      <c r="AP77" s="28">
        <f t="shared" ref="AP77:AP81" ca="1" si="301">+W77+AI77+(AG77*N77)</f>
        <v>1600</v>
      </c>
      <c r="AQ77" s="28">
        <f t="shared" ref="AQ77:AQ82" ca="1" si="302">+Y77+AJ77</f>
        <v>0</v>
      </c>
      <c r="AR77" s="28">
        <f t="shared" ref="AR77:AR82" ca="1" si="303">+Z77+AK77</f>
        <v>5793.6454116160548</v>
      </c>
      <c r="AS77" s="28">
        <f t="shared" ref="AS77:AS82" ca="1" si="304">+AA77+AL77</f>
        <v>0</v>
      </c>
      <c r="AT77" s="35">
        <f t="shared" ref="AT77:AT82" si="305">BD77</f>
        <v>41961.674446063713</v>
      </c>
      <c r="AU77" s="35">
        <f t="shared" ref="AU77:AU82" si="306">BC77</f>
        <v>1031.6894416406478</v>
      </c>
      <c r="AV77" s="35"/>
      <c r="AW77" s="35">
        <f t="shared" ref="AW77:AW82" si="307">BJ77</f>
        <v>19485.455463199527</v>
      </c>
      <c r="AX77" s="28">
        <f t="shared" ref="AX77:AX82" ca="1" si="308">+AE77+AO77</f>
        <v>0</v>
      </c>
      <c r="AY77" s="28"/>
      <c r="AZ77" s="35">
        <f t="shared" ref="AZ77:AZ78" ca="1" si="309">ROUND(SUM(AP77:AY77),2)</f>
        <v>69872.460000000006</v>
      </c>
      <c r="BA77" s="35">
        <f>SUM(BC77:BJ77)-BF77</f>
        <v>69872.46476217272</v>
      </c>
      <c r="BB77" s="36">
        <f t="shared" ref="BB77:BB82" ca="1" si="310">IF(BA77=0,0,ROUND(BA77/AZ77,6))</f>
        <v>1</v>
      </c>
      <c r="BC77" s="35">
        <f>SUMIFS('Fin Forecast'!$U$3:$U$600,'Fin Forecast'!$B$3:$B$600,'Jul17-Jun18 Retail'!$E77,'Fin Forecast'!$C$3:$C$600,'Jul17-Jun18 Retail'!$BC$5)*1000</f>
        <v>1031.6894416406478</v>
      </c>
      <c r="BD77" s="35">
        <f>SUMIFS('Fin Forecast'!$U$3:$U$600,'Fin Forecast'!$B$3:$B$600,'Jul17-Jun18 Retail'!$E77,'Fin Forecast'!$C$3:$C$600,'Jul17-Jun18 Retail'!$BD$5)*1000</f>
        <v>41961.674446063713</v>
      </c>
      <c r="BE77" s="35"/>
      <c r="BF77" s="35"/>
      <c r="BG77" s="35">
        <f>SUMIFS('Fin Forecast'!$U$3:$U$600,'Fin Forecast'!$B$3:$B$600,'Jul17-Jun18 Retail'!$E77,'Fin Forecast'!$C$3:$C$600,'Jul17-Jun18 Retail'!$BG$5)*1000</f>
        <v>1600</v>
      </c>
      <c r="BH77" s="35">
        <f>SUMIFS('Fin Forecast'!$U$3:$U$600,'Fin Forecast'!$B$3:$B$600,'Jul17-Jun18 Retail'!$E77,'Fin Forecast'!$C$3:$C$600,'Jul17-Jun18 Retail'!$BH$5)*1000</f>
        <v>5793.6454112688398</v>
      </c>
      <c r="BI77" s="35">
        <f>SUMIFS('Fin Forecast'!$U$3:$U$600,'Fin Forecast'!$B$3:$B$600,'Jul17-Jun18 Retail'!$E77,'Fin Forecast'!$C$3:$C$600,'Jul17-Jun18 Retail'!$BI$5)*1000</f>
        <v>0</v>
      </c>
      <c r="BJ77" s="35">
        <f>SUMIFS('Fin Forecast'!$U$3:$U$600,'Fin Forecast'!$B$3:$B$600,'Jul17-Jun18 Retail'!$E77,'Fin Forecast'!$C$3:$C$600,'Jul17-Jun18 Retail'!$BJ$5)*1000</f>
        <v>19485.455463199527</v>
      </c>
      <c r="BL77" s="44">
        <f t="shared" ref="BL77:BL82" ca="1" si="311">+AZ77-BA77</f>
        <v>-4.7621727135265246E-3</v>
      </c>
      <c r="BN77" s="49">
        <f t="shared" ref="BN77:BN82" ca="1" si="312">+AP77+AQ77-BG77</f>
        <v>0</v>
      </c>
      <c r="BO77" s="49">
        <f t="shared" ref="BO77:BO82" ca="1" si="313">+AR77+AS77-BH77</f>
        <v>3.4721506381174549E-7</v>
      </c>
      <c r="BP77" s="49">
        <f t="shared" ref="BP77:BP82" si="314">+AT77-BD77</f>
        <v>0</v>
      </c>
    </row>
    <row r="78" spans="1:68" ht="15" x14ac:dyDescent="0.25">
      <c r="C78" s="6">
        <f>C77+1</f>
        <v>62</v>
      </c>
      <c r="D78" s="361">
        <f>$D$77</f>
        <v>43221</v>
      </c>
      <c r="E78" s="361" t="str">
        <f>+'Retail Rates'!$B$10</f>
        <v>LGING866</v>
      </c>
      <c r="F78" s="6" t="str">
        <f t="shared" ref="F78:F82" si="315">MID(E78,6,3)</f>
        <v>866</v>
      </c>
      <c r="G78" s="6" t="str">
        <f>VLOOKUP(E78,'Retail Rates'!$B$7:$D$34,3,FALSE)</f>
        <v>AAGS-I</v>
      </c>
      <c r="H78" s="25">
        <f>SUMIF('Forcasted Customer Cts'!$D$5:$D$36,'Jul17-Jun18 Retail'!$E78,'Forcasted Customer Cts'!$Z$5:$Z$36)</f>
        <v>0</v>
      </c>
      <c r="I78" s="25"/>
      <c r="J78" s="25"/>
      <c r="K78" s="25">
        <f>SUMIF('Forecasted Calendar Month Usage'!$D$5:$D$41,'Jul17-Jun18 Retail'!$E78,'Forecasted Calendar Month Usage'!$AH$5:$AH$41)*10</f>
        <v>0</v>
      </c>
      <c r="L78" s="25"/>
      <c r="M78" s="25"/>
      <c r="N78" s="26">
        <f>VLOOKUP($E78,'Retail Rates'!$B$7:$L$34,5,FALSE)</f>
        <v>400</v>
      </c>
      <c r="O78" s="26">
        <f>VLOOKUP($E78,'Retail Rates'!$B$7:$L$34,6,FALSE)</f>
        <v>0</v>
      </c>
      <c r="P78" s="27">
        <f>VLOOKUP($E78,'Retail Rates'!$B$7:$L$34,7,FALSE)</f>
        <v>7.009E-2</v>
      </c>
      <c r="Q78" s="27">
        <f>VLOOKUP($E78,'Retail Rates'!$B$7:$L$34,8,FALSE)</f>
        <v>0</v>
      </c>
      <c r="R78" s="27"/>
      <c r="S78" s="26">
        <f>VLOOKUP($E78,'Retail Rates'!$B$7:$L$34,9,FALSE)</f>
        <v>0</v>
      </c>
      <c r="T78" s="27">
        <f>VLOOKUP($E78,'Retail Rates'!$B$7:$L$34,10,FALSE)</f>
        <v>0</v>
      </c>
      <c r="U78" s="26">
        <f>VLOOKUP($E78,'Retail Rates'!$B$7:$L$34,11,FALSE)</f>
        <v>0</v>
      </c>
      <c r="V78" s="309"/>
      <c r="W78" s="28">
        <f t="shared" si="296"/>
        <v>0</v>
      </c>
      <c r="X78" s="28"/>
      <c r="Y78" s="28"/>
      <c r="Z78" s="28">
        <f t="shared" si="297"/>
        <v>0</v>
      </c>
      <c r="AA78" s="28">
        <f t="shared" si="298"/>
        <v>0</v>
      </c>
      <c r="AB78" s="28">
        <f t="shared" si="299"/>
        <v>0</v>
      </c>
      <c r="AC78" s="28"/>
      <c r="AD78" s="28"/>
      <c r="AE78" s="28">
        <f t="shared" ref="AE78:AE82" si="316">M78*U78</f>
        <v>0</v>
      </c>
      <c r="AF78" s="28">
        <f t="shared" si="300"/>
        <v>0</v>
      </c>
      <c r="AG78" s="48">
        <f ca="1">SUMIFS(Adjustments!H$5:H$557,Adjustments!$B$5:$B$557,'Jul17-Jun18 Retail'!$D78,Adjustments!$C$5:$C$557,'Jul17-Jun18 Retail'!$E78)</f>
        <v>0</v>
      </c>
      <c r="AH78" s="48">
        <f ca="1">SUMIFS(Adjustments!I$5:I$557,Adjustments!$B$5:$B$557,'Jul17-Jun18 Retail'!$D78,Adjustments!$C$5:$C$557,'Jul17-Jun18 Retail'!$E78)</f>
        <v>0</v>
      </c>
      <c r="AI78" s="40">
        <f ca="1">SUMIFS(Adjustments!J$5:J$557,Adjustments!$B$5:$B$557,'Jul17-Jun18 Retail'!$D78,Adjustments!$C$5:$C$557,'Jul17-Jun18 Retail'!$E78)</f>
        <v>0</v>
      </c>
      <c r="AJ78" s="40">
        <f ca="1">SUMIFS(Adjustments!K$5:K$557,Adjustments!$B$5:$B$557,'Jul17-Jun18 Retail'!$D78,Adjustments!$C$5:$C$557,'Jul17-Jun18 Retail'!$E78)</f>
        <v>0</v>
      </c>
      <c r="AK78" s="40">
        <f ca="1">SUMIFS(Adjustments!L$5:L$557,Adjustments!$B$5:$B$557,'Jul17-Jun18 Retail'!$D78,Adjustments!$C$5:$C$557,'Jul17-Jun18 Retail'!$E78)</f>
        <v>0</v>
      </c>
      <c r="AL78" s="40">
        <f ca="1">SUMIFS(Adjustments!M$5:M$557,Adjustments!$B$5:$B$557,'Jul17-Jun18 Retail'!$D78,Adjustments!$C$5:$C$557,'Jul17-Jun18 Retail'!$E78)</f>
        <v>0</v>
      </c>
      <c r="AM78" s="40">
        <f ca="1">SUMIFS(Adjustments!N$5:N$557,Adjustments!$B$5:$B$557,'Jul17-Jun18 Retail'!$D78,Adjustments!$C$5:$C$557,'Jul17-Jun18 Retail'!$E78)</f>
        <v>0</v>
      </c>
      <c r="AN78" s="40">
        <f ca="1">SUMIFS(Adjustments!O$5:O$557,Adjustments!$B$5:$B$557,'Jul17-Jun18 Retail'!$D78,Adjustments!$C$5:$C$557,'Jul17-Jun18 Retail'!$E78)</f>
        <v>0</v>
      </c>
      <c r="AO78" s="40">
        <f ca="1">SUMIFS(Adjustments!P$5:P$557,Adjustments!$B$5:$B$557,'Jul17-Jun18 Retail'!$D78,Adjustments!$C$5:$C$557,'Jul17-Jun18 Retail'!$E78)</f>
        <v>0</v>
      </c>
      <c r="AP78" s="28">
        <f t="shared" ca="1" si="301"/>
        <v>0</v>
      </c>
      <c r="AQ78" s="28">
        <f t="shared" ca="1" si="302"/>
        <v>0</v>
      </c>
      <c r="AR78" s="28">
        <f t="shared" ca="1" si="303"/>
        <v>0</v>
      </c>
      <c r="AS78" s="28">
        <f t="shared" ca="1" si="304"/>
        <v>0</v>
      </c>
      <c r="AT78" s="35">
        <f t="shared" si="305"/>
        <v>0</v>
      </c>
      <c r="AU78" s="35">
        <f t="shared" si="306"/>
        <v>0</v>
      </c>
      <c r="AV78" s="35"/>
      <c r="AW78" s="35">
        <f t="shared" si="307"/>
        <v>0</v>
      </c>
      <c r="AX78" s="28">
        <f t="shared" ca="1" si="308"/>
        <v>0</v>
      </c>
      <c r="AY78" s="28"/>
      <c r="AZ78" s="35">
        <f t="shared" ca="1" si="309"/>
        <v>0</v>
      </c>
      <c r="BA78" s="35">
        <f t="shared" ref="BA78" si="317">SUM(BC78:BJ78)-BF78</f>
        <v>0</v>
      </c>
      <c r="BB78" s="36">
        <f t="shared" si="310"/>
        <v>0</v>
      </c>
      <c r="BC78" s="35">
        <f>SUMIFS('Fin Forecast'!$U$3:$U$600,'Fin Forecast'!$B$3:$B$600,'Jul17-Jun18 Retail'!$E78,'Fin Forecast'!$C$3:$C$600,'Jul17-Jun18 Retail'!$BC$5)*1000</f>
        <v>0</v>
      </c>
      <c r="BD78" s="35">
        <f>SUMIFS('Fin Forecast'!$U$3:$U$600,'Fin Forecast'!$B$3:$B$600,'Jul17-Jun18 Retail'!$E78,'Fin Forecast'!$C$3:$C$600,'Jul17-Jun18 Retail'!$BD$5)*1000</f>
        <v>0</v>
      </c>
      <c r="BE78" s="35"/>
      <c r="BF78" s="35"/>
      <c r="BG78" s="35">
        <f>SUMIFS('Fin Forecast'!$U$3:$U$600,'Fin Forecast'!$B$3:$B$600,'Jul17-Jun18 Retail'!$E78,'Fin Forecast'!$C$3:$C$600,'Jul17-Jun18 Retail'!$BG$5)*1000</f>
        <v>0</v>
      </c>
      <c r="BH78" s="35">
        <f>SUMIFS('Fin Forecast'!$U$3:$U$600,'Fin Forecast'!$B$3:$B$600,'Jul17-Jun18 Retail'!$E78,'Fin Forecast'!$C$3:$C$600,'Jul17-Jun18 Retail'!$BH$5)*1000</f>
        <v>0</v>
      </c>
      <c r="BI78" s="35">
        <f>SUMIFS('Fin Forecast'!$U$3:$U$600,'Fin Forecast'!$B$3:$B$600,'Jul17-Jun18 Retail'!$E78,'Fin Forecast'!$C$3:$C$600,'Jul17-Jun18 Retail'!$BI$5)*1000</f>
        <v>0</v>
      </c>
      <c r="BJ78" s="35">
        <f>SUMIFS('Fin Forecast'!$U$3:$U$600,'Fin Forecast'!$B$3:$B$600,'Jul17-Jun18 Retail'!$E78,'Fin Forecast'!$C$3:$C$600,'Jul17-Jun18 Retail'!$BJ$5)*1000</f>
        <v>0</v>
      </c>
      <c r="BL78" s="44">
        <f t="shared" ca="1" si="311"/>
        <v>0</v>
      </c>
      <c r="BN78" s="49">
        <f t="shared" ca="1" si="312"/>
        <v>0</v>
      </c>
      <c r="BO78" s="49">
        <f t="shared" ca="1" si="313"/>
        <v>0</v>
      </c>
      <c r="BP78" s="49">
        <f t="shared" si="314"/>
        <v>0</v>
      </c>
    </row>
    <row r="79" spans="1:68" ht="15" x14ac:dyDescent="0.25">
      <c r="A79" s="304" t="s">
        <v>443</v>
      </c>
      <c r="B79" s="304" t="s">
        <v>444</v>
      </c>
      <c r="C79" s="6">
        <f t="shared" ref="C79:C82" si="318">C78+1</f>
        <v>63</v>
      </c>
      <c r="D79" s="361">
        <f>$D$77</f>
        <v>43221</v>
      </c>
      <c r="E79" s="361" t="str">
        <f>+'Retail Rates'!$B$15</f>
        <v>LGCMG851</v>
      </c>
      <c r="F79" s="6" t="str">
        <f t="shared" si="315"/>
        <v>851</v>
      </c>
      <c r="G79" s="6" t="str">
        <f>VLOOKUP(E79,'Retail Rates'!$B$7:$D$34,3,FALSE)</f>
        <v>CGS</v>
      </c>
      <c r="H79" s="25"/>
      <c r="I79" s="25">
        <f>SUMIFS('Forcasted Customer Cts'!$Z$5:$Z$36,'Forcasted Customer Cts'!$D$5:$D$36,'Jul17-Jun18 Retail'!$E79,'Forcasted Customer Cts'!$C$5:$C$36,'Jul17-Jun18 Retail'!$A$9)</f>
        <v>23907</v>
      </c>
      <c r="J79" s="25">
        <f>SUMIFS('Forcasted Customer Cts'!$Z$5:$Z$36,'Forcasted Customer Cts'!$D$5:$D$36,'Jul17-Jun18 Retail'!$E79,'Forcasted Customer Cts'!$C$5:$C$36,'Jul17-Jun18 Retail'!$B$9)</f>
        <v>996</v>
      </c>
      <c r="K79" s="25">
        <f>SUMIFS('Forecasted Calendar Month Usage'!$AH$5:$AH$41,'Forecasted Calendar Month Usage'!$D$5:$D$41,'Jul17-Jun18 Retail'!$E79,'Forecasted Calendar Month Usage'!$C$5:$C$41,'Jul17-Jun18 Retail'!$A$11)*10</f>
        <v>3701076.9637021497</v>
      </c>
      <c r="L79" s="25">
        <f>SUMIFS('Forecasted Calendar Month Usage'!$AH$5:$AH$41,'Forecasted Calendar Month Usage'!$D$5:$D$41,'Jul17-Jun18 Retail'!$E79,'Forecasted Calendar Month Usage'!$C$5:$C$41,'Jul17-Jun18 Retail'!$B$11)*10</f>
        <v>154172.71721642875</v>
      </c>
      <c r="M79" s="25"/>
      <c r="N79" s="26">
        <f>VLOOKUP($E79,'Retail Rates'!$B$7:$L$34,5,FALSE)</f>
        <v>40</v>
      </c>
      <c r="O79" s="26">
        <f>VLOOKUP($E79,'Retail Rates'!$B$7:$L$34,6,FALSE)</f>
        <v>180</v>
      </c>
      <c r="P79" s="27">
        <f>VLOOKUP($E79,'Retail Rates'!$B$7:$L$34,7,FALSE)</f>
        <v>0.21504000000000001</v>
      </c>
      <c r="Q79" s="27">
        <f>VLOOKUP($E79,'Retail Rates'!$B$7:$L$34,8,FALSE)</f>
        <v>0.16504000000000002</v>
      </c>
      <c r="R79" s="27"/>
      <c r="S79" s="26">
        <f>VLOOKUP($E79,'Retail Rates'!$B$7:$L$34,9,FALSE)</f>
        <v>0</v>
      </c>
      <c r="T79" s="27">
        <f>VLOOKUP($E79,'Retail Rates'!$B$7:$L$34,10,FALSE)</f>
        <v>0</v>
      </c>
      <c r="U79" s="26">
        <f>VLOOKUP($E79,'Retail Rates'!$B$7:$L$34,11,FALSE)</f>
        <v>0</v>
      </c>
      <c r="V79" s="309"/>
      <c r="W79" s="28">
        <f t="shared" si="296"/>
        <v>956280</v>
      </c>
      <c r="X79" s="28"/>
      <c r="Y79" s="28">
        <f>+J79*O79</f>
        <v>179280</v>
      </c>
      <c r="Z79" s="28">
        <f t="shared" si="297"/>
        <v>795879.59027451032</v>
      </c>
      <c r="AA79" s="28">
        <f t="shared" si="298"/>
        <v>25444.665249399404</v>
      </c>
      <c r="AB79" s="28">
        <f t="shared" si="299"/>
        <v>0</v>
      </c>
      <c r="AC79" s="28"/>
      <c r="AD79" s="28"/>
      <c r="AE79" s="28">
        <f t="shared" si="316"/>
        <v>0</v>
      </c>
      <c r="AF79" s="28">
        <f t="shared" si="300"/>
        <v>0</v>
      </c>
      <c r="AG79" s="48">
        <f ca="1">SUMIFS(Adjustments!H$5:H$557,Adjustments!$B$5:$B$557,'Jul17-Jun18 Retail'!$D79,Adjustments!$C$5:$C$557,'Jul17-Jun18 Retail'!$E79)</f>
        <v>0</v>
      </c>
      <c r="AH79" s="48">
        <f ca="1">SUMIFS(Adjustments!I$5:I$557,Adjustments!$B$5:$B$557,'Jul17-Jun18 Retail'!$D79,Adjustments!$C$5:$C$557,'Jul17-Jun18 Retail'!$E79)</f>
        <v>0</v>
      </c>
      <c r="AI79" s="40">
        <f ca="1">SUMIFS(Adjustments!J$5:J$557,Adjustments!$B$5:$B$557,'Jul17-Jun18 Retail'!$D79,Adjustments!$C$5:$C$557,'Jul17-Jun18 Retail'!$E79)</f>
        <v>0</v>
      </c>
      <c r="AJ79" s="40">
        <f ca="1">SUMIFS(Adjustments!K$5:K$557,Adjustments!$B$5:$B$557,'Jul17-Jun18 Retail'!$D79,Adjustments!$C$5:$C$557,'Jul17-Jun18 Retail'!$E79)</f>
        <v>0</v>
      </c>
      <c r="AK79" s="40">
        <f ca="1">SUMIFS(Adjustments!L$5:L$557,Adjustments!$B$5:$B$557,'Jul17-Jun18 Retail'!$D79,Adjustments!$C$5:$C$557,'Jul17-Jun18 Retail'!$E79)</f>
        <v>0</v>
      </c>
      <c r="AL79" s="40">
        <f ca="1">SUMIFS(Adjustments!M$5:M$557,Adjustments!$B$5:$B$557,'Jul17-Jun18 Retail'!$D79,Adjustments!$C$5:$C$557,'Jul17-Jun18 Retail'!$E79)</f>
        <v>0</v>
      </c>
      <c r="AM79" s="40">
        <f ca="1">SUMIFS(Adjustments!N$5:N$557,Adjustments!$B$5:$B$557,'Jul17-Jun18 Retail'!$D79,Adjustments!$C$5:$C$557,'Jul17-Jun18 Retail'!$E79)</f>
        <v>0</v>
      </c>
      <c r="AN79" s="40">
        <f ca="1">SUMIFS(Adjustments!O$5:O$557,Adjustments!$B$5:$B$557,'Jul17-Jun18 Retail'!$D79,Adjustments!$C$5:$C$557,'Jul17-Jun18 Retail'!$E79)</f>
        <v>0</v>
      </c>
      <c r="AO79" s="40">
        <f ca="1">SUMIFS(Adjustments!P$5:P$557,Adjustments!$B$5:$B$557,'Jul17-Jun18 Retail'!$D79,Adjustments!$C$5:$C$557,'Jul17-Jun18 Retail'!$E79)</f>
        <v>0</v>
      </c>
      <c r="AP79" s="28">
        <f t="shared" ca="1" si="301"/>
        <v>956280</v>
      </c>
      <c r="AQ79" s="28">
        <f t="shared" ca="1" si="302"/>
        <v>179280</v>
      </c>
      <c r="AR79" s="28">
        <f t="shared" ca="1" si="303"/>
        <v>795879.59027451032</v>
      </c>
      <c r="AS79" s="28">
        <f t="shared" ca="1" si="304"/>
        <v>25444.665249399404</v>
      </c>
      <c r="AT79" s="35">
        <f t="shared" si="305"/>
        <v>1957084.008568316</v>
      </c>
      <c r="AU79" s="35">
        <f t="shared" si="306"/>
        <v>111266.18758133271</v>
      </c>
      <c r="AV79" s="35"/>
      <c r="AW79" s="35">
        <f t="shared" si="307"/>
        <v>892542.51260641823</v>
      </c>
      <c r="AX79" s="28">
        <f t="shared" ca="1" si="308"/>
        <v>0</v>
      </c>
      <c r="AY79" s="28"/>
      <c r="AZ79" s="35">
        <f t="shared" ref="AZ79:AZ81" ca="1" si="319">ROUND(SUM(AP79:AY79),2)</f>
        <v>4917776.96</v>
      </c>
      <c r="BA79" s="35">
        <f t="shared" ref="BA79:BA81" si="320">SUM(BC79:BJ79)-BF79</f>
        <v>4917776.9641709812</v>
      </c>
      <c r="BB79" s="36">
        <f t="shared" ca="1" si="310"/>
        <v>1</v>
      </c>
      <c r="BC79" s="35">
        <f>SUMIFS('Fin Forecast'!$U$3:$U$600,'Fin Forecast'!$B$3:$B$600,'Jul17-Jun18 Retail'!$E79,'Fin Forecast'!$C$3:$C$600,'Jul17-Jun18 Retail'!$BC$5)*1000</f>
        <v>111266.18758133271</v>
      </c>
      <c r="BD79" s="35">
        <f>SUMIFS('Fin Forecast'!$U$3:$U$600,'Fin Forecast'!$B$3:$B$600,'Jul17-Jun18 Retail'!$E79,'Fin Forecast'!$C$3:$C$600,'Jul17-Jun18 Retail'!$BD$5)*1000</f>
        <v>1957084.008568316</v>
      </c>
      <c r="BE79" s="35"/>
      <c r="BF79" s="35"/>
      <c r="BG79" s="35">
        <f>SUMIFS('Fin Forecast'!$U$3:$U$600,'Fin Forecast'!$B$3:$B$600,'Jul17-Jun18 Retail'!$E79,'Fin Forecast'!$C$3:$C$600,'Jul17-Jun18 Retail'!$BG$5)*1000</f>
        <v>1135560</v>
      </c>
      <c r="BH79" s="35">
        <f>SUMIFS('Fin Forecast'!$U$3:$U$600,'Fin Forecast'!$B$3:$B$600,'Jul17-Jun18 Retail'!$E79,'Fin Forecast'!$C$3:$C$600,'Jul17-Jun18 Retail'!$BH$5)*1000</f>
        <v>821324.25541491399</v>
      </c>
      <c r="BI79" s="35">
        <f>SUMIFS('Fin Forecast'!$U$3:$U$600,'Fin Forecast'!$B$3:$B$600,'Jul17-Jun18 Retail'!$E79,'Fin Forecast'!$C$3:$C$600,'Jul17-Jun18 Retail'!$BI$5)*1000</f>
        <v>0</v>
      </c>
      <c r="BJ79" s="35">
        <f>SUMIFS('Fin Forecast'!$U$3:$U$600,'Fin Forecast'!$B$3:$B$600,'Jul17-Jun18 Retail'!$E79,'Fin Forecast'!$C$3:$C$600,'Jul17-Jun18 Retail'!$BJ$5)*1000</f>
        <v>892542.51260641823</v>
      </c>
      <c r="BL79" s="44">
        <f t="shared" ca="1" si="311"/>
        <v>-4.1709812358021736E-3</v>
      </c>
      <c r="BN79" s="49">
        <f t="shared" ca="1" si="312"/>
        <v>0</v>
      </c>
      <c r="BO79" s="49">
        <f t="shared" ca="1" si="313"/>
        <v>1.0899570770561695E-4</v>
      </c>
      <c r="BP79" s="49">
        <f t="shared" si="314"/>
        <v>0</v>
      </c>
    </row>
    <row r="80" spans="1:68" ht="15" x14ac:dyDescent="0.25">
      <c r="A80" s="304"/>
      <c r="B80" s="304"/>
      <c r="C80" s="6">
        <f t="shared" si="318"/>
        <v>64</v>
      </c>
      <c r="D80" s="361">
        <f>$D$77</f>
        <v>43221</v>
      </c>
      <c r="E80" s="361" t="str">
        <f>+'Retail Rates'!$B$20</f>
        <v>LGCMG875</v>
      </c>
      <c r="F80" s="6" t="str">
        <f t="shared" si="315"/>
        <v>875</v>
      </c>
      <c r="G80" s="6" t="str">
        <f>VLOOKUP(E80,'Retail Rates'!$B$7:$D$34,3,FALSE)</f>
        <v>DGGS-C</v>
      </c>
      <c r="H80" s="25">
        <v>1</v>
      </c>
      <c r="I80" s="25"/>
      <c r="J80" s="25"/>
      <c r="K80" s="25">
        <v>6</v>
      </c>
      <c r="L80" s="25"/>
      <c r="M80" s="25">
        <v>483</v>
      </c>
      <c r="N80" s="26">
        <f>VLOOKUP($E80,'Retail Rates'!$B$7:$L$34,5,FALSE)</f>
        <v>40</v>
      </c>
      <c r="O80" s="26">
        <f>VLOOKUP($E80,'Retail Rates'!$B$7:$L$34,6,FALSE)</f>
        <v>180</v>
      </c>
      <c r="P80" s="27">
        <f>VLOOKUP($E80,'Retail Rates'!$B$7:$L$34,7,FALSE)</f>
        <v>3.329E-2</v>
      </c>
      <c r="Q80" s="27">
        <f>VLOOKUP($E80,'Retail Rates'!$B$7:$L$34,8,FALSE)</f>
        <v>0</v>
      </c>
      <c r="R80" s="27"/>
      <c r="S80" s="26">
        <f>VLOOKUP($E80,'Retail Rates'!$B$7:$L$34,9,FALSE)</f>
        <v>0</v>
      </c>
      <c r="T80" s="27">
        <f>VLOOKUP($E80,'Retail Rates'!$B$7:$L$34,10,FALSE)</f>
        <v>0</v>
      </c>
      <c r="U80" s="403">
        <f>VLOOKUP($E80,'Retail Rates'!$B$7:$L$34,11,FALSE)</f>
        <v>1.1263000000000001</v>
      </c>
      <c r="V80" s="309"/>
      <c r="W80" s="28">
        <f t="shared" si="296"/>
        <v>40</v>
      </c>
      <c r="X80" s="28"/>
      <c r="Y80" s="28"/>
      <c r="Z80" s="28">
        <f t="shared" si="297"/>
        <v>0.19974</v>
      </c>
      <c r="AA80" s="28">
        <f t="shared" si="298"/>
        <v>0</v>
      </c>
      <c r="AB80" s="28">
        <f t="shared" si="299"/>
        <v>0</v>
      </c>
      <c r="AC80" s="28"/>
      <c r="AD80" s="28"/>
      <c r="AE80" s="28">
        <f t="shared" si="316"/>
        <v>544.00290000000007</v>
      </c>
      <c r="AF80" s="28">
        <f t="shared" si="300"/>
        <v>0</v>
      </c>
      <c r="AG80" s="48">
        <f ca="1">SUMIFS(Adjustments!H$5:H$557,Adjustments!$B$5:$B$557,'Jul17-Jun18 Retail'!$D80,Adjustments!$C$5:$C$557,'Jul17-Jun18 Retail'!$E80)</f>
        <v>0</v>
      </c>
      <c r="AH80" s="48">
        <f ca="1">SUMIFS(Adjustments!I$5:I$557,Adjustments!$B$5:$B$557,'Jul17-Jun18 Retail'!$D80,Adjustments!$C$5:$C$557,'Jul17-Jun18 Retail'!$E80)</f>
        <v>0</v>
      </c>
      <c r="AI80" s="40">
        <f ca="1">SUMIFS(Adjustments!J$5:J$557,Adjustments!$B$5:$B$557,'Jul17-Jun18 Retail'!$D80,Adjustments!$C$5:$C$557,'Jul17-Jun18 Retail'!$E80)</f>
        <v>0</v>
      </c>
      <c r="AJ80" s="40">
        <f ca="1">SUMIFS(Adjustments!K$5:K$557,Adjustments!$B$5:$B$557,'Jul17-Jun18 Retail'!$D80,Adjustments!$C$5:$C$557,'Jul17-Jun18 Retail'!$E80)</f>
        <v>0</v>
      </c>
      <c r="AK80" s="40">
        <f ca="1">SUMIFS(Adjustments!L$5:L$557,Adjustments!$B$5:$B$557,'Jul17-Jun18 Retail'!$D80,Adjustments!$C$5:$C$557,'Jul17-Jun18 Retail'!$E80)</f>
        <v>0</v>
      </c>
      <c r="AL80" s="40">
        <f ca="1">SUMIFS(Adjustments!M$5:M$557,Adjustments!$B$5:$B$557,'Jul17-Jun18 Retail'!$D80,Adjustments!$C$5:$C$557,'Jul17-Jun18 Retail'!$E80)</f>
        <v>0</v>
      </c>
      <c r="AM80" s="40">
        <f ca="1">SUMIFS(Adjustments!N$5:N$557,Adjustments!$B$5:$B$557,'Jul17-Jun18 Retail'!$D80,Adjustments!$C$5:$C$557,'Jul17-Jun18 Retail'!$E80)</f>
        <v>0</v>
      </c>
      <c r="AN80" s="40">
        <f ca="1">SUMIFS(Adjustments!O$5:O$557,Adjustments!$B$5:$B$557,'Jul17-Jun18 Retail'!$D80,Adjustments!$C$5:$C$557,'Jul17-Jun18 Retail'!$E80)</f>
        <v>0</v>
      </c>
      <c r="AO80" s="40">
        <f ca="1">SUMIFS(Adjustments!P$5:P$557,Adjustments!$B$5:$B$557,'Jul17-Jun18 Retail'!$D80,Adjustments!$C$5:$C$557,'Jul17-Jun18 Retail'!$E80)</f>
        <v>0</v>
      </c>
      <c r="AP80" s="28">
        <f t="shared" ca="1" si="301"/>
        <v>40</v>
      </c>
      <c r="AQ80" s="28">
        <f t="shared" ca="1" si="302"/>
        <v>0</v>
      </c>
      <c r="AR80" s="28">
        <f t="shared" ca="1" si="303"/>
        <v>0.19974</v>
      </c>
      <c r="AS80" s="28">
        <f t="shared" ca="1" si="304"/>
        <v>0</v>
      </c>
      <c r="AT80" s="35">
        <f t="shared" si="305"/>
        <v>3.0458478762308201</v>
      </c>
      <c r="AU80" s="35">
        <f t="shared" si="306"/>
        <v>0.1731657300643</v>
      </c>
      <c r="AV80" s="35"/>
      <c r="AW80" s="35">
        <f t="shared" si="307"/>
        <v>0</v>
      </c>
      <c r="AX80" s="28">
        <f t="shared" ca="1" si="308"/>
        <v>544.00290000000007</v>
      </c>
      <c r="AY80" s="28"/>
      <c r="AZ80" s="35">
        <f t="shared" ca="1" si="319"/>
        <v>587.41999999999996</v>
      </c>
      <c r="BA80" s="35">
        <f t="shared" si="320"/>
        <v>587.42165360629508</v>
      </c>
      <c r="BB80" s="36">
        <f t="shared" ca="1" si="310"/>
        <v>1.000003</v>
      </c>
      <c r="BC80" s="35">
        <f>SUMIFS('Fin Forecast'!$U$3:$U$600,'Fin Forecast'!$B$3:$B$600,'Jul17-Jun18 Retail'!$E80,'Fin Forecast'!$C$3:$C$600,'Jul17-Jun18 Retail'!$BC$5)*1000</f>
        <v>0.1731657300643</v>
      </c>
      <c r="BD80" s="35">
        <f>SUMIFS('Fin Forecast'!$U$3:$U$600,'Fin Forecast'!$B$3:$B$600,'Jul17-Jun18 Retail'!$E80,'Fin Forecast'!$C$3:$C$600,'Jul17-Jun18 Retail'!$BD$5)*1000</f>
        <v>3.0458478762308201</v>
      </c>
      <c r="BE80" s="35"/>
      <c r="BF80" s="35"/>
      <c r="BG80" s="35">
        <f>SUMIFS('Fin Forecast'!$U$3:$U$600,'Fin Forecast'!$B$3:$B$600,'Jul17-Jun18 Retail'!$E80,'Fin Forecast'!$C$3:$C$600,'Jul17-Jun18 Retail'!$BG$5)*1000</f>
        <v>40</v>
      </c>
      <c r="BH80" s="35">
        <f>SUMIFS('Fin Forecast'!$U$3:$U$600,'Fin Forecast'!$B$3:$B$600,'Jul17-Jun18 Retail'!$E80,'Fin Forecast'!$C$3:$C$600,'Jul17-Jun18 Retail'!$BH$5)*1000</f>
        <v>0.199739999999999</v>
      </c>
      <c r="BI80" s="35">
        <f>SUMIFS('Fin Forecast'!$U$3:$U$600,'Fin Forecast'!$B$3:$B$600,'Jul17-Jun18 Retail'!$E80,'Fin Forecast'!$C$3:$C$600,'Jul17-Jun18 Retail'!$BI$5)*1000</f>
        <v>544.00289999999995</v>
      </c>
      <c r="BJ80" s="35">
        <f>SUMIFS('Fin Forecast'!$U$3:$U$600,'Fin Forecast'!$B$3:$B$600,'Jul17-Jun18 Retail'!$E80,'Fin Forecast'!$C$3:$C$600,'Jul17-Jun18 Retail'!$BJ$5)*1000</f>
        <v>0</v>
      </c>
      <c r="BL80" s="44">
        <f t="shared" ca="1" si="311"/>
        <v>-1.65360629512179E-3</v>
      </c>
      <c r="BN80" s="49">
        <f t="shared" ca="1" si="312"/>
        <v>0</v>
      </c>
      <c r="BO80" s="49">
        <f t="shared" ca="1" si="313"/>
        <v>9.9920072216264089E-16</v>
      </c>
      <c r="BP80" s="49">
        <f t="shared" si="314"/>
        <v>0</v>
      </c>
    </row>
    <row r="81" spans="1:68" ht="15" x14ac:dyDescent="0.25">
      <c r="A81" s="13" t="s">
        <v>445</v>
      </c>
      <c r="B81" s="13" t="s">
        <v>446</v>
      </c>
      <c r="C81" s="6">
        <f t="shared" si="318"/>
        <v>65</v>
      </c>
      <c r="D81" s="361">
        <f>$D$77</f>
        <v>43221</v>
      </c>
      <c r="E81" s="361" t="str">
        <f>+'Retail Rates'!$B$26</f>
        <v>LGING855</v>
      </c>
      <c r="F81" s="6" t="str">
        <f t="shared" si="315"/>
        <v>855</v>
      </c>
      <c r="G81" s="6" t="s">
        <v>111</v>
      </c>
      <c r="H81" s="25"/>
      <c r="I81" s="25">
        <f>SUMIFS('Forcasted Customer Cts'!$Z$5:$Z$36,'Forcasted Customer Cts'!$D$5:$D$36,'Jul17-Jun18 Retail'!$E81,'Forcasted Customer Cts'!$C$5:$C$36,'Jul17-Jun18 Retail'!$A$9)</f>
        <v>148</v>
      </c>
      <c r="J81" s="25">
        <f>SUMIFS('Forcasted Customer Cts'!$Z$5:$Z$36,'Forcasted Customer Cts'!$D$5:$D$36,'Jul17-Jun18 Retail'!$E81,'Forcasted Customer Cts'!$C$5:$C$36,'Jul17-Jun18 Retail'!$B$9)</f>
        <v>116</v>
      </c>
      <c r="K81" s="25">
        <f>SUMIFS('Forecasted Calendar Month Usage'!$AH$5:$AH$41,'Forecasted Calendar Month Usage'!$D$5:$D$41,'Jul17-Jun18 Retail'!$E81,'Forecasted Calendar Month Usage'!$C$5:$C$41,'Jul17-Jun18 Retail'!$A$11)*10</f>
        <v>593464.64714469248</v>
      </c>
      <c r="L81" s="25">
        <f>SUMIFS('Forecasted Calendar Month Usage'!$AH$5:$AH$41,'Forecasted Calendar Month Usage'!$D$5:$D$41,'Jul17-Jun18 Retail'!$E81,'Forecasted Calendar Month Usage'!$C$5:$C$41,'Jul17-Jun18 Retail'!$B$11)*10</f>
        <v>260649.75201621358</v>
      </c>
      <c r="M81" s="25"/>
      <c r="N81" s="26">
        <f>VLOOKUP($E81,'Retail Rates'!$B$7:$L$34,5,FALSE)</f>
        <v>40</v>
      </c>
      <c r="O81" s="26">
        <f>VLOOKUP($E81,'Retail Rates'!$B$7:$L$34,6,FALSE)</f>
        <v>180</v>
      </c>
      <c r="P81" s="27">
        <f>VLOOKUP($E81,'Retail Rates'!$B$7:$L$34,7,FALSE)</f>
        <v>0.22778999999999999</v>
      </c>
      <c r="Q81" s="27">
        <f>VLOOKUP($E81,'Retail Rates'!$B$7:$L$34,8,FALSE)</f>
        <v>0.17779</v>
      </c>
      <c r="R81" s="27"/>
      <c r="S81" s="26">
        <f>VLOOKUP($E81,'Retail Rates'!$B$7:$L$34,9,FALSE)</f>
        <v>0</v>
      </c>
      <c r="T81" s="27">
        <f>VLOOKUP($E81,'Retail Rates'!$B$7:$L$34,10,FALSE)</f>
        <v>0</v>
      </c>
      <c r="U81" s="26">
        <f>VLOOKUP($E81,'Retail Rates'!$B$7:$L$34,11,FALSE)</f>
        <v>0</v>
      </c>
      <c r="V81" s="309"/>
      <c r="W81" s="28">
        <f t="shared" si="296"/>
        <v>5920</v>
      </c>
      <c r="X81" s="28"/>
      <c r="Y81" s="28">
        <f t="shared" ref="Y81" si="321">+J81*O81</f>
        <v>20880</v>
      </c>
      <c r="Z81" s="28">
        <f t="shared" si="297"/>
        <v>135185.3119730895</v>
      </c>
      <c r="AA81" s="28">
        <f t="shared" si="298"/>
        <v>46340.919410962611</v>
      </c>
      <c r="AB81" s="28">
        <f t="shared" si="299"/>
        <v>0</v>
      </c>
      <c r="AC81" s="28"/>
      <c r="AD81" s="28"/>
      <c r="AE81" s="28">
        <f t="shared" si="316"/>
        <v>0</v>
      </c>
      <c r="AF81" s="28">
        <f>(+I81*V81)+(J81*V81)</f>
        <v>0</v>
      </c>
      <c r="AG81" s="48">
        <f ca="1">SUMIFS(Adjustments!H$5:H$557,Adjustments!$B$5:$B$557,'Jul17-Jun18 Retail'!$D81,Adjustments!$C$5:$C$557,'Jul17-Jun18 Retail'!$E81)</f>
        <v>0</v>
      </c>
      <c r="AH81" s="48">
        <f ca="1">SUMIFS(Adjustments!I$5:I$557,Adjustments!$B$5:$B$557,'Jul17-Jun18 Retail'!$D81,Adjustments!$C$5:$C$557,'Jul17-Jun18 Retail'!$E81)</f>
        <v>0</v>
      </c>
      <c r="AI81" s="40">
        <f ca="1">SUMIFS(Adjustments!J$5:J$557,Adjustments!$B$5:$B$557,'Jul17-Jun18 Retail'!$D81,Adjustments!$C$5:$C$557,'Jul17-Jun18 Retail'!$E81)</f>
        <v>0</v>
      </c>
      <c r="AJ81" s="40">
        <f ca="1">SUMIFS(Adjustments!K$5:K$557,Adjustments!$B$5:$B$557,'Jul17-Jun18 Retail'!$D81,Adjustments!$C$5:$C$557,'Jul17-Jun18 Retail'!$E81)</f>
        <v>0</v>
      </c>
      <c r="AK81" s="40">
        <f ca="1">SUMIFS(Adjustments!L$5:L$557,Adjustments!$B$5:$B$557,'Jul17-Jun18 Retail'!$D81,Adjustments!$C$5:$C$557,'Jul17-Jun18 Retail'!$E81)</f>
        <v>0</v>
      </c>
      <c r="AL81" s="40">
        <f ca="1">SUMIFS(Adjustments!M$5:M$557,Adjustments!$B$5:$B$557,'Jul17-Jun18 Retail'!$D81,Adjustments!$C$5:$C$557,'Jul17-Jun18 Retail'!$E81)</f>
        <v>0</v>
      </c>
      <c r="AM81" s="40">
        <f ca="1">SUMIFS(Adjustments!N$5:N$557,Adjustments!$B$5:$B$557,'Jul17-Jun18 Retail'!$D81,Adjustments!$C$5:$C$557,'Jul17-Jun18 Retail'!$E81)</f>
        <v>0</v>
      </c>
      <c r="AN81" s="40">
        <f ca="1">SUMIFS(Adjustments!O$5:O$557,Adjustments!$B$5:$B$557,'Jul17-Jun18 Retail'!$D81,Adjustments!$C$5:$C$557,'Jul17-Jun18 Retail'!$E81)</f>
        <v>0</v>
      </c>
      <c r="AO81" s="40">
        <f ca="1">SUMIFS(Adjustments!P$5:P$557,Adjustments!$B$5:$B$557,'Jul17-Jun18 Retail'!$D81,Adjustments!$C$5:$C$557,'Jul17-Jun18 Retail'!$E81)</f>
        <v>0</v>
      </c>
      <c r="AP81" s="28">
        <f t="shared" ca="1" si="301"/>
        <v>5920</v>
      </c>
      <c r="AQ81" s="28">
        <f t="shared" ca="1" si="302"/>
        <v>20880</v>
      </c>
      <c r="AR81" s="28">
        <f t="shared" ca="1" si="303"/>
        <v>135185.3119730895</v>
      </c>
      <c r="AS81" s="28">
        <f t="shared" ca="1" si="304"/>
        <v>46340.919410962611</v>
      </c>
      <c r="AT81" s="35">
        <f t="shared" si="305"/>
        <v>433583.75481430849</v>
      </c>
      <c r="AU81" s="35">
        <f t="shared" si="306"/>
        <v>0</v>
      </c>
      <c r="AV81" s="35"/>
      <c r="AW81" s="35">
        <f t="shared" si="307"/>
        <v>81829.219485069887</v>
      </c>
      <c r="AX81" s="28">
        <f t="shared" ca="1" si="308"/>
        <v>0</v>
      </c>
      <c r="AY81" s="28"/>
      <c r="AZ81" s="35">
        <f t="shared" ca="1" si="319"/>
        <v>723739.21</v>
      </c>
      <c r="BA81" s="35">
        <f t="shared" si="320"/>
        <v>723739.20569256868</v>
      </c>
      <c r="BB81" s="36">
        <f t="shared" ca="1" si="310"/>
        <v>1</v>
      </c>
      <c r="BC81" s="35">
        <f>SUMIFS('Fin Forecast'!$U$3:$U$600,'Fin Forecast'!$B$3:$B$600,'Jul17-Jun18 Retail'!$E81,'Fin Forecast'!$C$3:$C$600,'Jul17-Jun18 Retail'!$BC$5)*1000</f>
        <v>0</v>
      </c>
      <c r="BD81" s="35">
        <f>SUMIFS('Fin Forecast'!$U$3:$U$600,'Fin Forecast'!$B$3:$B$600,'Jul17-Jun18 Retail'!$E81,'Fin Forecast'!$C$3:$C$600,'Jul17-Jun18 Retail'!$BD$5)*1000</f>
        <v>433583.75481430849</v>
      </c>
      <c r="BE81" s="35"/>
      <c r="BF81" s="35"/>
      <c r="BG81" s="35">
        <f>SUMIFS('Fin Forecast'!$U$3:$U$600,'Fin Forecast'!$B$3:$B$600,'Jul17-Jun18 Retail'!$E81,'Fin Forecast'!$C$3:$C$600,'Jul17-Jun18 Retail'!$BG$5)*1000</f>
        <v>26800</v>
      </c>
      <c r="BH81" s="35">
        <f>SUMIFS('Fin Forecast'!$U$3:$U$600,'Fin Forecast'!$B$3:$B$600,'Jul17-Jun18 Retail'!$E81,'Fin Forecast'!$C$3:$C$600,'Jul17-Jun18 Retail'!$BH$5)*1000</f>
        <v>181526.2313931903</v>
      </c>
      <c r="BI81" s="35">
        <f>SUMIFS('Fin Forecast'!$U$3:$U$600,'Fin Forecast'!$B$3:$B$600,'Jul17-Jun18 Retail'!$E81,'Fin Forecast'!$C$3:$C$600,'Jul17-Jun18 Retail'!$BI$5)*1000</f>
        <v>0</v>
      </c>
      <c r="BJ81" s="35">
        <f>SUMIFS('Fin Forecast'!$U$3:$U$600,'Fin Forecast'!$B$3:$B$600,'Jul17-Jun18 Retail'!$E81,'Fin Forecast'!$C$3:$C$600,'Jul17-Jun18 Retail'!$BJ$5)*1000</f>
        <v>81829.219485069887</v>
      </c>
      <c r="BL81" s="44">
        <f t="shared" ca="1" si="311"/>
        <v>4.3074312852695584E-3</v>
      </c>
      <c r="BN81" s="49">
        <f t="shared" ca="1" si="312"/>
        <v>0</v>
      </c>
      <c r="BO81" s="49">
        <f t="shared" ca="1" si="313"/>
        <v>-9.1381953097879887E-6</v>
      </c>
      <c r="BP81" s="49">
        <f t="shared" si="314"/>
        <v>0</v>
      </c>
    </row>
    <row r="82" spans="1:68" ht="15" x14ac:dyDescent="0.25">
      <c r="C82" s="6">
        <f t="shared" si="318"/>
        <v>66</v>
      </c>
      <c r="D82" s="361">
        <f>$D$77</f>
        <v>43221</v>
      </c>
      <c r="E82" s="361" t="str">
        <f>+'Retail Rates'!$B$31</f>
        <v>LGRSG811</v>
      </c>
      <c r="F82" s="6" t="str">
        <f t="shared" si="315"/>
        <v>811</v>
      </c>
      <c r="G82" s="6" t="str">
        <f>VLOOKUP(E82,'Retail Rates'!$B$7:$D$34,3,FALSE)</f>
        <v>RGS</v>
      </c>
      <c r="H82" s="25">
        <f>SUMIF('Forcasted Customer Cts'!$D$5:$D$36,'Jul17-Jun18 Retail'!$E82,'Forcasted Customer Cts'!$Z$5:$Z$36)</f>
        <v>296589</v>
      </c>
      <c r="I82" s="25"/>
      <c r="J82" s="25"/>
      <c r="K82" s="25">
        <f>SUMIF('Forecasted Calendar Month Usage'!$D$5:$D$41,'Jul17-Jun18 Retail'!$E82,'Forecasted Calendar Month Usage'!$AH$5:$AH$41)*10</f>
        <v>6535146.3454635758</v>
      </c>
      <c r="L82" s="25"/>
      <c r="M82" s="25"/>
      <c r="N82" s="26">
        <f>VLOOKUP($E82,'Retail Rates'!$B$7:$L$34,5,FALSE)</f>
        <v>13.5</v>
      </c>
      <c r="O82" s="26">
        <f>VLOOKUP($E82,'Retail Rates'!$B$7:$L$34,6,FALSE)</f>
        <v>0</v>
      </c>
      <c r="P82" s="27">
        <f>VLOOKUP($E82,'Retail Rates'!$B$7:$L$34,7,FALSE)</f>
        <v>0.28693000000000002</v>
      </c>
      <c r="Q82" s="27">
        <f>VLOOKUP($E82,'Retail Rates'!$B$7:$L$34,8,FALSE)</f>
        <v>0</v>
      </c>
      <c r="R82" s="27"/>
      <c r="S82" s="26">
        <f>VLOOKUP($E82,'Retail Rates'!$B$7:$L$34,9,FALSE)</f>
        <v>0</v>
      </c>
      <c r="T82" s="27">
        <f>VLOOKUP($E82,'Retail Rates'!$B$7:$L$34,10,FALSE)</f>
        <v>0</v>
      </c>
      <c r="U82" s="26">
        <f>VLOOKUP($E82,'Retail Rates'!$B$7:$L$34,11,FALSE)</f>
        <v>0</v>
      </c>
      <c r="V82" s="309"/>
      <c r="W82" s="28">
        <f t="shared" si="296"/>
        <v>4003951.5</v>
      </c>
      <c r="X82" s="28"/>
      <c r="Y82" s="28"/>
      <c r="Z82" s="28">
        <f t="shared" si="297"/>
        <v>1875129.540903864</v>
      </c>
      <c r="AA82" s="28">
        <f t="shared" si="298"/>
        <v>0</v>
      </c>
      <c r="AB82" s="28">
        <f t="shared" si="299"/>
        <v>0</v>
      </c>
      <c r="AC82" s="28"/>
      <c r="AD82" s="28"/>
      <c r="AE82" s="28">
        <f t="shared" si="316"/>
        <v>0</v>
      </c>
      <c r="AF82" s="28">
        <f t="shared" ref="AF82" si="322">(+H82*V82)+(I82*V82)</f>
        <v>0</v>
      </c>
      <c r="AG82" s="48">
        <f ca="1">SUMIFS(Adjustments!H$5:H$557,Adjustments!$B$5:$B$557,'Jul17-Jun18 Retail'!$D82,Adjustments!$C$5:$C$557,'Jul17-Jun18 Retail'!$E82)</f>
        <v>0</v>
      </c>
      <c r="AH82" s="48">
        <f ca="1">SUMIFS(Adjustments!I$5:I$557,Adjustments!$B$5:$B$557,'Jul17-Jun18 Retail'!$D82,Adjustments!$C$5:$C$557,'Jul17-Jun18 Retail'!$E82)</f>
        <v>0</v>
      </c>
      <c r="AI82" s="40">
        <f ca="1">SUMIFS(Adjustments!J$5:J$557,Adjustments!$B$5:$B$557,'Jul17-Jun18 Retail'!$D82,Adjustments!$C$5:$C$557,'Jul17-Jun18 Retail'!$E82)</f>
        <v>0</v>
      </c>
      <c r="AJ82" s="40">
        <f ca="1">SUMIFS(Adjustments!K$5:K$557,Adjustments!$B$5:$B$557,'Jul17-Jun18 Retail'!$D82,Adjustments!$C$5:$C$557,'Jul17-Jun18 Retail'!$E82)</f>
        <v>0</v>
      </c>
      <c r="AK82" s="40">
        <f ca="1">SUMIFS(Adjustments!L$5:L$557,Adjustments!$B$5:$B$557,'Jul17-Jun18 Retail'!$D82,Adjustments!$C$5:$C$557,'Jul17-Jun18 Retail'!$E82)</f>
        <v>0</v>
      </c>
      <c r="AL82" s="40">
        <f ca="1">SUMIFS(Adjustments!M$5:M$557,Adjustments!$B$5:$B$557,'Jul17-Jun18 Retail'!$D82,Adjustments!$C$5:$C$557,'Jul17-Jun18 Retail'!$E82)</f>
        <v>0</v>
      </c>
      <c r="AM82" s="40">
        <f ca="1">SUMIFS(Adjustments!N$5:N$557,Adjustments!$B$5:$B$557,'Jul17-Jun18 Retail'!$D82,Adjustments!$C$5:$C$557,'Jul17-Jun18 Retail'!$E82)</f>
        <v>0</v>
      </c>
      <c r="AN82" s="40">
        <f ca="1">SUMIFS(Adjustments!O$5:O$557,Adjustments!$B$5:$B$557,'Jul17-Jun18 Retail'!$D82,Adjustments!$C$5:$C$557,'Jul17-Jun18 Retail'!$E82)</f>
        <v>0</v>
      </c>
      <c r="AO82" s="40">
        <f ca="1">SUMIFS(Adjustments!P$5:P$557,Adjustments!$B$5:$B$557,'Jul17-Jun18 Retail'!$D82,Adjustments!$C$5:$C$557,'Jul17-Jun18 Retail'!$E82)</f>
        <v>0</v>
      </c>
      <c r="AP82" s="28">
        <f t="shared" ref="AP82" ca="1" si="323">+W82+AI82+(AG82*N82)</f>
        <v>4003951.5</v>
      </c>
      <c r="AQ82" s="28">
        <f t="shared" ca="1" si="302"/>
        <v>0</v>
      </c>
      <c r="AR82" s="28">
        <f t="shared" ca="1" si="303"/>
        <v>1875129.540903864</v>
      </c>
      <c r="AS82" s="28">
        <f t="shared" ca="1" si="304"/>
        <v>0</v>
      </c>
      <c r="AT82" s="35">
        <f t="shared" si="305"/>
        <v>3317510.2694458803</v>
      </c>
      <c r="AU82" s="35">
        <f t="shared" si="306"/>
        <v>188610.56466001802</v>
      </c>
      <c r="AV82" s="35"/>
      <c r="AW82" s="35">
        <f t="shared" si="307"/>
        <v>2080771.9513794801</v>
      </c>
      <c r="AX82" s="28">
        <f t="shared" ca="1" si="308"/>
        <v>0</v>
      </c>
      <c r="AY82" s="28"/>
      <c r="AZ82" s="35">
        <f t="shared" ref="AZ82" ca="1" si="324">ROUND(SUM(AP82:AY82),2)</f>
        <v>11465973.83</v>
      </c>
      <c r="BA82" s="35">
        <f t="shared" ref="BA82" si="325">SUM(BC82:BJ82)-BF82</f>
        <v>11465973.826340957</v>
      </c>
      <c r="BB82" s="36">
        <f t="shared" ca="1" si="310"/>
        <v>1</v>
      </c>
      <c r="BC82" s="35">
        <f>SUMIFS('Fin Forecast'!$U$3:$U$600,'Fin Forecast'!$B$3:$B$600,'Jul17-Jun18 Retail'!$E82,'Fin Forecast'!$C$3:$C$600,'Jul17-Jun18 Retail'!$BC$5)*1000</f>
        <v>188610.56466001802</v>
      </c>
      <c r="BD82" s="35">
        <f>SUMIFS('Fin Forecast'!$U$3:$U$600,'Fin Forecast'!$B$3:$B$600,'Jul17-Jun18 Retail'!$E82,'Fin Forecast'!$C$3:$C$600,'Jul17-Jun18 Retail'!$BD$5)*1000</f>
        <v>3317510.2694458803</v>
      </c>
      <c r="BE82" s="35"/>
      <c r="BF82" s="35"/>
      <c r="BG82" s="35">
        <f>SUMIFS('Fin Forecast'!$U$3:$U$600,'Fin Forecast'!$B$3:$B$600,'Jul17-Jun18 Retail'!$E82,'Fin Forecast'!$C$3:$C$600,'Jul17-Jun18 Retail'!$BG$5)*1000</f>
        <v>4003951.5</v>
      </c>
      <c r="BH82" s="35">
        <f>SUMIFS('Fin Forecast'!$U$3:$U$600,'Fin Forecast'!$B$3:$B$600,'Jul17-Jun18 Retail'!$E82,'Fin Forecast'!$C$3:$C$600,'Jul17-Jun18 Retail'!$BH$5)*1000</f>
        <v>1875129.54085558</v>
      </c>
      <c r="BI82" s="35">
        <f>SUMIFS('Fin Forecast'!$U$3:$U$600,'Fin Forecast'!$B$3:$B$600,'Jul17-Jun18 Retail'!$E82,'Fin Forecast'!$C$3:$C$600,'Jul17-Jun18 Retail'!$BI$5)*1000</f>
        <v>0</v>
      </c>
      <c r="BJ82" s="35">
        <f>SUMIFS('Fin Forecast'!$U$3:$U$600,'Fin Forecast'!$B$3:$B$600,'Jul17-Jun18 Retail'!$E82,'Fin Forecast'!$C$3:$C$600,'Jul17-Jun18 Retail'!$BJ$5)*1000</f>
        <v>2080771.9513794801</v>
      </c>
      <c r="BL82" s="44">
        <f t="shared" ca="1" si="311"/>
        <v>3.6590434610843658E-3</v>
      </c>
      <c r="BN82" s="49">
        <f t="shared" ca="1" si="312"/>
        <v>0</v>
      </c>
      <c r="BO82" s="49">
        <f t="shared" ca="1" si="313"/>
        <v>4.8283953219652176E-5</v>
      </c>
      <c r="BP82" s="49">
        <f t="shared" si="314"/>
        <v>0</v>
      </c>
    </row>
    <row r="83" spans="1:68" s="323" customFormat="1" ht="15" x14ac:dyDescent="0.25">
      <c r="C83" s="324"/>
      <c r="D83" s="362"/>
      <c r="E83" s="362"/>
      <c r="F83" s="324"/>
      <c r="G83" s="324"/>
      <c r="N83" s="326"/>
      <c r="O83" s="326"/>
      <c r="P83" s="327"/>
      <c r="Q83" s="327"/>
      <c r="R83" s="327"/>
      <c r="S83" s="326"/>
      <c r="T83" s="327"/>
      <c r="U83" s="327"/>
      <c r="V83" s="328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30"/>
      <c r="AH83" s="330"/>
      <c r="AI83" s="329"/>
      <c r="AJ83" s="329"/>
      <c r="AK83" s="329"/>
      <c r="AL83" s="329"/>
      <c r="AM83" s="329"/>
      <c r="AN83" s="329"/>
      <c r="AO83" s="329"/>
      <c r="AP83" s="341"/>
      <c r="AQ83" s="341"/>
      <c r="AR83" s="341"/>
      <c r="AS83" s="341"/>
      <c r="AT83" s="329"/>
      <c r="AU83" s="329"/>
      <c r="AV83" s="329"/>
      <c r="AW83" s="329"/>
      <c r="AX83" s="329"/>
      <c r="AY83" s="329"/>
      <c r="AZ83" s="329"/>
      <c r="BA83" s="329"/>
      <c r="BB83" s="331"/>
      <c r="BC83" s="341"/>
      <c r="BD83" s="341"/>
      <c r="BE83" s="341"/>
      <c r="BF83" s="341"/>
      <c r="BG83" s="341"/>
      <c r="BH83" s="341"/>
      <c r="BI83" s="341"/>
      <c r="BJ83" s="341"/>
      <c r="BL83" s="329"/>
      <c r="BN83" s="329"/>
      <c r="BO83" s="329"/>
      <c r="BP83" s="329"/>
    </row>
    <row r="84" spans="1:68" ht="15" x14ac:dyDescent="0.25">
      <c r="C84" s="6">
        <f>C82+1</f>
        <v>67</v>
      </c>
      <c r="D84" s="361">
        <f>EDATE(D77,1)</f>
        <v>43252</v>
      </c>
      <c r="E84" s="361" t="str">
        <f>+'Retail Rates'!$B$7</f>
        <v>LGCMG865</v>
      </c>
      <c r="F84" s="6" t="str">
        <f>MID(E84,6,3)</f>
        <v>865</v>
      </c>
      <c r="G84" s="6" t="str">
        <f>VLOOKUP(E84,'Retail Rates'!$B$7:$D$34,3,FALSE)</f>
        <v>AAGS-C</v>
      </c>
      <c r="H84" s="25">
        <f>SUMIF('Forcasted Customer Cts'!$D$5:$D$36,'Jul17-Jun18 Retail'!$E84,'Forcasted Customer Cts'!$AA$5:$AA$36)</f>
        <v>4</v>
      </c>
      <c r="I84" s="25"/>
      <c r="J84" s="25"/>
      <c r="K84" s="25">
        <f>SUMIF('Forecasted Calendar Month Usage'!$D$5:$D$41,'Jul17-Jun18 Retail'!$E84,'Forecasted Calendar Month Usage'!$AI$5:$AI$41)*10</f>
        <v>93782.617629948087</v>
      </c>
      <c r="L84" s="25"/>
      <c r="M84" s="25"/>
      <c r="N84" s="26">
        <f>VLOOKUP($E84,'Retail Rates'!$B$7:$L$34,5,FALSE)</f>
        <v>400</v>
      </c>
      <c r="O84" s="26">
        <f>VLOOKUP($E84,'Retail Rates'!$B$7:$L$34,6,FALSE)</f>
        <v>0</v>
      </c>
      <c r="P84" s="27">
        <f>VLOOKUP($E84,'Retail Rates'!$B$7:$L$34,7,FALSE)</f>
        <v>7.009E-2</v>
      </c>
      <c r="Q84" s="27">
        <f>VLOOKUP($E84,'Retail Rates'!$B$7:$L$34,8,FALSE)</f>
        <v>0</v>
      </c>
      <c r="R84" s="27"/>
      <c r="S84" s="26">
        <f>VLOOKUP($E84,'Retail Rates'!$B$7:$L$34,9,FALSE)</f>
        <v>0</v>
      </c>
      <c r="T84" s="27">
        <f>VLOOKUP($E84,'Retail Rates'!$B$7:$L$34,10,FALSE)</f>
        <v>0</v>
      </c>
      <c r="U84" s="26">
        <f>VLOOKUP($E84,'Retail Rates'!$B$7:$L$34,11,FALSE)</f>
        <v>0</v>
      </c>
      <c r="V84" s="309"/>
      <c r="W84" s="28">
        <f t="shared" ref="W84:W89" si="326">(+H84*N84)+(I84*N84)</f>
        <v>1600</v>
      </c>
      <c r="X84" s="28"/>
      <c r="Y84" s="28"/>
      <c r="Z84" s="28">
        <f t="shared" ref="Z84:Z89" si="327">+K84*P84</f>
        <v>6573.2236696830614</v>
      </c>
      <c r="AA84" s="28">
        <f t="shared" ref="AA84:AA89" si="328">+L84*Q84</f>
        <v>0</v>
      </c>
      <c r="AB84" s="28">
        <f t="shared" ref="AB84:AB89" si="329">SUM(K84:L84)*R84</f>
        <v>0</v>
      </c>
      <c r="AC84" s="28"/>
      <c r="AD84" s="28"/>
      <c r="AE84" s="28">
        <f>M84*U84</f>
        <v>0</v>
      </c>
      <c r="AF84" s="28">
        <f t="shared" ref="AF84:AF87" si="330">(+H84*V84)+(I84*V84)</f>
        <v>0</v>
      </c>
      <c r="AG84" s="48">
        <f ca="1">SUMIFS(Adjustments!H$5:H$557,Adjustments!$B$5:$B$557,'Jul17-Jun18 Retail'!$D84,Adjustments!$C$5:$C$557,'Jul17-Jun18 Retail'!$E84)</f>
        <v>0</v>
      </c>
      <c r="AH84" s="48">
        <f ca="1">SUMIFS(Adjustments!I$5:I$557,Adjustments!$B$5:$B$557,'Jul17-Jun18 Retail'!$D84,Adjustments!$C$5:$C$557,'Jul17-Jun18 Retail'!$E84)</f>
        <v>0</v>
      </c>
      <c r="AI84" s="40">
        <f ca="1">SUMIFS(Adjustments!J$5:J$557,Adjustments!$B$5:$B$557,'Jul17-Jun18 Retail'!$D84,Adjustments!$C$5:$C$557,'Jul17-Jun18 Retail'!$E84)</f>
        <v>0</v>
      </c>
      <c r="AJ84" s="40">
        <f ca="1">SUMIFS(Adjustments!K$5:K$557,Adjustments!$B$5:$B$557,'Jul17-Jun18 Retail'!$D84,Adjustments!$C$5:$C$557,'Jul17-Jun18 Retail'!$E84)</f>
        <v>0</v>
      </c>
      <c r="AK84" s="40">
        <f ca="1">SUMIFS(Adjustments!L$5:L$557,Adjustments!$B$5:$B$557,'Jul17-Jun18 Retail'!$D84,Adjustments!$C$5:$C$557,'Jul17-Jun18 Retail'!$E84)</f>
        <v>0</v>
      </c>
      <c r="AL84" s="40">
        <f ca="1">SUMIFS(Adjustments!M$5:M$557,Adjustments!$B$5:$B$557,'Jul17-Jun18 Retail'!$D84,Adjustments!$C$5:$C$557,'Jul17-Jun18 Retail'!$E84)</f>
        <v>0</v>
      </c>
      <c r="AM84" s="40">
        <f ca="1">SUMIFS(Adjustments!N$5:N$557,Adjustments!$B$5:$B$557,'Jul17-Jun18 Retail'!$D84,Adjustments!$C$5:$C$557,'Jul17-Jun18 Retail'!$E84)</f>
        <v>0</v>
      </c>
      <c r="AN84" s="40">
        <f ca="1">SUMIFS(Adjustments!O$5:O$557,Adjustments!$B$5:$B$557,'Jul17-Jun18 Retail'!$D84,Adjustments!$C$5:$C$557,'Jul17-Jun18 Retail'!$E84)</f>
        <v>0</v>
      </c>
      <c r="AO84" s="40">
        <f ca="1">SUMIFS(Adjustments!P$5:P$557,Adjustments!$B$5:$B$557,'Jul17-Jun18 Retail'!$D84,Adjustments!$C$5:$C$557,'Jul17-Jun18 Retail'!$E84)</f>
        <v>0</v>
      </c>
      <c r="AP84" s="28">
        <f t="shared" ref="AP84:AP88" ca="1" si="331">+W84+AI84+(AG84*N84)</f>
        <v>1600</v>
      </c>
      <c r="AQ84" s="28">
        <f t="shared" ref="AQ84:AQ89" ca="1" si="332">+Y84+AJ84</f>
        <v>0</v>
      </c>
      <c r="AR84" s="28">
        <f t="shared" ref="AR84:AR89" ca="1" si="333">+Z84+AK84</f>
        <v>6573.2236696830614</v>
      </c>
      <c r="AS84" s="28">
        <f t="shared" ref="AS84:AS89" ca="1" si="334">+AA84+AL84</f>
        <v>0</v>
      </c>
      <c r="AT84" s="35">
        <f t="shared" ref="AT84:AT89" si="335">BD84</f>
        <v>37933.156160976549</v>
      </c>
      <c r="AU84" s="35">
        <f t="shared" ref="AU84:AU89" si="336">BC84</f>
        <v>1224.3242403235631</v>
      </c>
      <c r="AV84" s="35"/>
      <c r="AW84" s="35">
        <f t="shared" ref="AW84:AW89" si="337">BJ84</f>
        <v>18822.917985288557</v>
      </c>
      <c r="AX84" s="28">
        <f t="shared" ref="AX84:AX89" ca="1" si="338">+AE84+AO84</f>
        <v>0</v>
      </c>
      <c r="AY84" s="28"/>
      <c r="AZ84" s="35">
        <f t="shared" ref="AZ84:AZ85" ca="1" si="339">ROUND(SUM(AP84:AY84),2)</f>
        <v>66153.62</v>
      </c>
      <c r="BA84" s="35">
        <f>SUM(BC84:BJ84)-BF84</f>
        <v>66153.622055644562</v>
      </c>
      <c r="BB84" s="36">
        <f t="shared" ref="BB84:BB89" ca="1" si="340">IF(BA84=0,0,ROUND(BA84/AZ84,6))</f>
        <v>1</v>
      </c>
      <c r="BC84" s="35">
        <f>SUMIFS('Fin Forecast'!$V$3:$V$600,'Fin Forecast'!$B$3:$B$600,'Jul17-Jun18 Retail'!$E84,'Fin Forecast'!$C$3:$C$600,'Jul17-Jun18 Retail'!$BC$5)*1000</f>
        <v>1224.3242403235631</v>
      </c>
      <c r="BD84" s="35">
        <f>SUMIFS('Fin Forecast'!$V$3:$V$600,'Fin Forecast'!$B$3:$B$600,'Jul17-Jun18 Retail'!$E84,'Fin Forecast'!$C$3:$C$600,'Jul17-Jun18 Retail'!$BD$5)*1000</f>
        <v>37933.156160976549</v>
      </c>
      <c r="BE84" s="35"/>
      <c r="BF84" s="35"/>
      <c r="BG84" s="35">
        <f>SUMIFS('Fin Forecast'!$V$3:$V$600,'Fin Forecast'!$B$3:$B$600,'Jul17-Jun18 Retail'!$E84,'Fin Forecast'!$C$3:$C$600,'Jul17-Jun18 Retail'!$BG$5)*1000</f>
        <v>1600</v>
      </c>
      <c r="BH84" s="35">
        <f>SUMIFS('Fin Forecast'!$V$3:$V$600,'Fin Forecast'!$B$3:$B$600,'Jul17-Jun18 Retail'!$E84,'Fin Forecast'!$C$3:$C$600,'Jul17-Jun18 Retail'!$BH$5)*1000</f>
        <v>6573.2236690558893</v>
      </c>
      <c r="BI84" s="35">
        <f>SUMIFS('Fin Forecast'!$V$3:$V$600,'Fin Forecast'!$B$3:$B$600,'Jul17-Jun18 Retail'!$E84,'Fin Forecast'!$C$3:$C$600,'Jul17-Jun18 Retail'!$BI$5)*1000</f>
        <v>0</v>
      </c>
      <c r="BJ84" s="35">
        <f>SUMIFS('Fin Forecast'!$V$3:$V$600,'Fin Forecast'!$B$3:$B$600,'Jul17-Jun18 Retail'!$E84,'Fin Forecast'!$C$3:$C$600,'Jul17-Jun18 Retail'!$BJ$5)*1000</f>
        <v>18822.917985288557</v>
      </c>
      <c r="BL84" s="44">
        <f t="shared" ref="BL84:BL89" ca="1" si="341">+AZ84-BA84</f>
        <v>-2.0556445670081303E-3</v>
      </c>
      <c r="BN84" s="49">
        <f t="shared" ref="BN84:BN89" ca="1" si="342">+AP84+AQ84-BG84</f>
        <v>0</v>
      </c>
      <c r="BO84" s="49">
        <f t="shared" ref="BO84:BO89" ca="1" si="343">+AR84+AS84-BH84</f>
        <v>6.2717208493268117E-7</v>
      </c>
      <c r="BP84" s="49">
        <f t="shared" ref="BP84:BP89" si="344">+AT84-BD84</f>
        <v>0</v>
      </c>
    </row>
    <row r="85" spans="1:68" ht="15" x14ac:dyDescent="0.25">
      <c r="C85" s="6">
        <f>C84+1</f>
        <v>68</v>
      </c>
      <c r="D85" s="361">
        <f>$D$84</f>
        <v>43252</v>
      </c>
      <c r="E85" s="361" t="str">
        <f>+'Retail Rates'!$B$10</f>
        <v>LGING866</v>
      </c>
      <c r="F85" s="6" t="str">
        <f t="shared" ref="F85:F89" si="345">MID(E85,6,3)</f>
        <v>866</v>
      </c>
      <c r="G85" s="6" t="str">
        <f>VLOOKUP(E85,'Retail Rates'!$B$7:$D$34,3,FALSE)</f>
        <v>AAGS-I</v>
      </c>
      <c r="H85" s="25">
        <f>SUMIF('Forcasted Customer Cts'!$D$5:$D$36,'Jul17-Jun18 Retail'!$E85,'Forcasted Customer Cts'!$AA$5:$AA$36)</f>
        <v>0</v>
      </c>
      <c r="I85" s="25"/>
      <c r="J85" s="25"/>
      <c r="K85" s="25">
        <f>SUMIF('Forecasted Calendar Month Usage'!$D$5:$D$41,'Jul17-Jun18 Retail'!$E85,'Forecasted Calendar Month Usage'!$AI$5:$AI$41)*10</f>
        <v>0</v>
      </c>
      <c r="L85" s="25"/>
      <c r="M85" s="25"/>
      <c r="N85" s="26">
        <f>VLOOKUP($E85,'Retail Rates'!$B$7:$L$34,5,FALSE)</f>
        <v>400</v>
      </c>
      <c r="O85" s="26">
        <f>VLOOKUP($E85,'Retail Rates'!$B$7:$L$34,6,FALSE)</f>
        <v>0</v>
      </c>
      <c r="P85" s="27">
        <f>VLOOKUP($E85,'Retail Rates'!$B$7:$L$34,7,FALSE)</f>
        <v>7.009E-2</v>
      </c>
      <c r="Q85" s="27">
        <f>VLOOKUP($E85,'Retail Rates'!$B$7:$L$34,8,FALSE)</f>
        <v>0</v>
      </c>
      <c r="R85" s="27"/>
      <c r="S85" s="26">
        <f>VLOOKUP($E85,'Retail Rates'!$B$7:$L$34,9,FALSE)</f>
        <v>0</v>
      </c>
      <c r="T85" s="27">
        <f>VLOOKUP($E85,'Retail Rates'!$B$7:$L$34,10,FALSE)</f>
        <v>0</v>
      </c>
      <c r="U85" s="26">
        <f>VLOOKUP($E85,'Retail Rates'!$B$7:$L$34,11,FALSE)</f>
        <v>0</v>
      </c>
      <c r="V85" s="309"/>
      <c r="W85" s="28">
        <f t="shared" si="326"/>
        <v>0</v>
      </c>
      <c r="X85" s="28"/>
      <c r="Y85" s="28"/>
      <c r="Z85" s="28">
        <f t="shared" si="327"/>
        <v>0</v>
      </c>
      <c r="AA85" s="28">
        <f t="shared" si="328"/>
        <v>0</v>
      </c>
      <c r="AB85" s="28">
        <f t="shared" si="329"/>
        <v>0</v>
      </c>
      <c r="AC85" s="28"/>
      <c r="AD85" s="28"/>
      <c r="AE85" s="28">
        <f t="shared" ref="AE85:AE89" si="346">M85*U85</f>
        <v>0</v>
      </c>
      <c r="AF85" s="28">
        <f t="shared" si="330"/>
        <v>0</v>
      </c>
      <c r="AG85" s="48">
        <f ca="1">SUMIFS(Adjustments!H$5:H$557,Adjustments!$B$5:$B$557,'Jul17-Jun18 Retail'!$D85,Adjustments!$C$5:$C$557,'Jul17-Jun18 Retail'!$E85)</f>
        <v>0</v>
      </c>
      <c r="AH85" s="48">
        <f ca="1">SUMIFS(Adjustments!I$5:I$557,Adjustments!$B$5:$B$557,'Jul17-Jun18 Retail'!$D85,Adjustments!$C$5:$C$557,'Jul17-Jun18 Retail'!$E85)</f>
        <v>0</v>
      </c>
      <c r="AI85" s="40">
        <f ca="1">SUMIFS(Adjustments!J$5:J$557,Adjustments!$B$5:$B$557,'Jul17-Jun18 Retail'!$D85,Adjustments!$C$5:$C$557,'Jul17-Jun18 Retail'!$E85)</f>
        <v>0</v>
      </c>
      <c r="AJ85" s="40">
        <f ca="1">SUMIFS(Adjustments!K$5:K$557,Adjustments!$B$5:$B$557,'Jul17-Jun18 Retail'!$D85,Adjustments!$C$5:$C$557,'Jul17-Jun18 Retail'!$E85)</f>
        <v>0</v>
      </c>
      <c r="AK85" s="40">
        <f ca="1">SUMIFS(Adjustments!L$5:L$557,Adjustments!$B$5:$B$557,'Jul17-Jun18 Retail'!$D85,Adjustments!$C$5:$C$557,'Jul17-Jun18 Retail'!$E85)</f>
        <v>0</v>
      </c>
      <c r="AL85" s="40">
        <f ca="1">SUMIFS(Adjustments!M$5:M$557,Adjustments!$B$5:$B$557,'Jul17-Jun18 Retail'!$D85,Adjustments!$C$5:$C$557,'Jul17-Jun18 Retail'!$E85)</f>
        <v>0</v>
      </c>
      <c r="AM85" s="40">
        <f ca="1">SUMIFS(Adjustments!N$5:N$557,Adjustments!$B$5:$B$557,'Jul17-Jun18 Retail'!$D85,Adjustments!$C$5:$C$557,'Jul17-Jun18 Retail'!$E85)</f>
        <v>0</v>
      </c>
      <c r="AN85" s="40">
        <f ca="1">SUMIFS(Adjustments!O$5:O$557,Adjustments!$B$5:$B$557,'Jul17-Jun18 Retail'!$D85,Adjustments!$C$5:$C$557,'Jul17-Jun18 Retail'!$E85)</f>
        <v>0</v>
      </c>
      <c r="AO85" s="40">
        <f ca="1">SUMIFS(Adjustments!P$5:P$557,Adjustments!$B$5:$B$557,'Jul17-Jun18 Retail'!$D85,Adjustments!$C$5:$C$557,'Jul17-Jun18 Retail'!$E85)</f>
        <v>0</v>
      </c>
      <c r="AP85" s="28">
        <f t="shared" ca="1" si="331"/>
        <v>0</v>
      </c>
      <c r="AQ85" s="28">
        <f t="shared" ca="1" si="332"/>
        <v>0</v>
      </c>
      <c r="AR85" s="28">
        <f t="shared" ca="1" si="333"/>
        <v>0</v>
      </c>
      <c r="AS85" s="28">
        <f t="shared" ca="1" si="334"/>
        <v>0</v>
      </c>
      <c r="AT85" s="35">
        <f t="shared" si="335"/>
        <v>0</v>
      </c>
      <c r="AU85" s="35">
        <f t="shared" si="336"/>
        <v>0</v>
      </c>
      <c r="AV85" s="35"/>
      <c r="AW85" s="35">
        <f t="shared" si="337"/>
        <v>0</v>
      </c>
      <c r="AX85" s="28">
        <f t="shared" ca="1" si="338"/>
        <v>0</v>
      </c>
      <c r="AY85" s="28"/>
      <c r="AZ85" s="35">
        <f t="shared" ca="1" si="339"/>
        <v>0</v>
      </c>
      <c r="BA85" s="35">
        <f t="shared" ref="BA85" si="347">SUM(BC85:BJ85)-BF85</f>
        <v>0</v>
      </c>
      <c r="BB85" s="36">
        <f t="shared" si="340"/>
        <v>0</v>
      </c>
      <c r="BC85" s="35">
        <f>SUMIFS('Fin Forecast'!$V$3:$V$600,'Fin Forecast'!$B$3:$B$600,'Jul17-Jun18 Retail'!$E85,'Fin Forecast'!$C$3:$C$600,'Jul17-Jun18 Retail'!$BC$5)*1000</f>
        <v>0</v>
      </c>
      <c r="BD85" s="35">
        <f>SUMIFS('Fin Forecast'!$V$3:$V$600,'Fin Forecast'!$B$3:$B$600,'Jul17-Jun18 Retail'!$E85,'Fin Forecast'!$C$3:$C$600,'Jul17-Jun18 Retail'!$BD$5)*1000</f>
        <v>0</v>
      </c>
      <c r="BE85" s="35"/>
      <c r="BF85" s="35"/>
      <c r="BG85" s="35">
        <f>SUMIFS('Fin Forecast'!$V$3:$V$600,'Fin Forecast'!$B$3:$B$600,'Jul17-Jun18 Retail'!$E85,'Fin Forecast'!$C$3:$C$600,'Jul17-Jun18 Retail'!$BG$5)*1000</f>
        <v>0</v>
      </c>
      <c r="BH85" s="35">
        <f>SUMIFS('Fin Forecast'!$V$3:$V$600,'Fin Forecast'!$B$3:$B$600,'Jul17-Jun18 Retail'!$E85,'Fin Forecast'!$C$3:$C$600,'Jul17-Jun18 Retail'!$BH$5)*1000</f>
        <v>0</v>
      </c>
      <c r="BI85" s="35">
        <f>SUMIFS('Fin Forecast'!$V$3:$V$600,'Fin Forecast'!$B$3:$B$600,'Jul17-Jun18 Retail'!$E85,'Fin Forecast'!$C$3:$C$600,'Jul17-Jun18 Retail'!$BI$5)*1000</f>
        <v>0</v>
      </c>
      <c r="BJ85" s="35">
        <f>SUMIFS('Fin Forecast'!$V$3:$V$600,'Fin Forecast'!$B$3:$B$600,'Jul17-Jun18 Retail'!$E85,'Fin Forecast'!$C$3:$C$600,'Jul17-Jun18 Retail'!$BJ$5)*1000</f>
        <v>0</v>
      </c>
      <c r="BL85" s="44">
        <f t="shared" ca="1" si="341"/>
        <v>0</v>
      </c>
      <c r="BN85" s="49">
        <f t="shared" ca="1" si="342"/>
        <v>0</v>
      </c>
      <c r="BO85" s="49">
        <f t="shared" ca="1" si="343"/>
        <v>0</v>
      </c>
      <c r="BP85" s="49">
        <f t="shared" si="344"/>
        <v>0</v>
      </c>
    </row>
    <row r="86" spans="1:68" ht="15" x14ac:dyDescent="0.25">
      <c r="A86" s="304" t="s">
        <v>443</v>
      </c>
      <c r="B86" s="304" t="s">
        <v>444</v>
      </c>
      <c r="C86" s="6">
        <f t="shared" ref="C86:C89" si="348">C85+1</f>
        <v>69</v>
      </c>
      <c r="D86" s="361">
        <f>$D$84</f>
        <v>43252</v>
      </c>
      <c r="E86" s="361" t="str">
        <f>+'Retail Rates'!$B$15</f>
        <v>LGCMG851</v>
      </c>
      <c r="F86" s="6" t="str">
        <f t="shared" si="345"/>
        <v>851</v>
      </c>
      <c r="G86" s="6" t="str">
        <f>VLOOKUP(E86,'Retail Rates'!$B$7:$D$34,3,FALSE)</f>
        <v>CGS</v>
      </c>
      <c r="H86" s="25"/>
      <c r="I86" s="25">
        <f>SUMIFS('Forcasted Customer Cts'!$AA$5:$AA$36,'Forcasted Customer Cts'!$D$5:$D$36,'Jul17-Jun18 Retail'!$E86,'Forcasted Customer Cts'!$C$5:$C$36,'Jul17-Jun18 Retail'!$A$9)</f>
        <v>23746</v>
      </c>
      <c r="J86" s="25">
        <f>SUMIFS('Forcasted Customer Cts'!$AA$5:$AA$36,'Forcasted Customer Cts'!$D$5:$D$36,'Jul17-Jun18 Retail'!$E86,'Forcasted Customer Cts'!$C$5:$C$36,'Jul17-Jun18 Retail'!$B$9)</f>
        <v>989</v>
      </c>
      <c r="K86" s="25">
        <f>SUMIFS('Forecasted Calendar Month Usage'!$AI$5:$AI$41,'Forecasted Calendar Month Usage'!$D$5:$D$41,'Jul17-Jun18 Retail'!$E86,'Forecasted Calendar Month Usage'!$C$5:$C$41,'Jul17-Jun18 Retail'!$A$11)*10</f>
        <v>2773905.6732601626</v>
      </c>
      <c r="L86" s="25">
        <f>SUMIFS('Forecasted Calendar Month Usage'!$AI$5:$AI$41,'Forecasted Calendar Month Usage'!$D$5:$D$41,'Jul17-Jun18 Retail'!$E86,'Forecasted Calendar Month Usage'!$C$5:$C$41,'Jul17-Jun18 Retail'!$B$11)*10</f>
        <v>115550.30580093691</v>
      </c>
      <c r="M86" s="25"/>
      <c r="N86" s="26">
        <f>VLOOKUP($E86,'Retail Rates'!$B$7:$L$34,5,FALSE)</f>
        <v>40</v>
      </c>
      <c r="O86" s="26">
        <f>VLOOKUP($E86,'Retail Rates'!$B$7:$L$34,6,FALSE)</f>
        <v>180</v>
      </c>
      <c r="P86" s="27">
        <f>VLOOKUP($E86,'Retail Rates'!$B$7:$L$34,7,FALSE)</f>
        <v>0.21504000000000001</v>
      </c>
      <c r="Q86" s="27">
        <f>VLOOKUP($E86,'Retail Rates'!$B$7:$L$34,8,FALSE)</f>
        <v>0.16504000000000002</v>
      </c>
      <c r="R86" s="27"/>
      <c r="S86" s="26">
        <f>VLOOKUP($E86,'Retail Rates'!$B$7:$L$34,9,FALSE)</f>
        <v>0</v>
      </c>
      <c r="T86" s="27">
        <f>VLOOKUP($E86,'Retail Rates'!$B$7:$L$34,10,FALSE)</f>
        <v>0</v>
      </c>
      <c r="U86" s="26">
        <f>VLOOKUP($E86,'Retail Rates'!$B$7:$L$34,11,FALSE)</f>
        <v>0</v>
      </c>
      <c r="V86" s="309"/>
      <c r="W86" s="28">
        <f t="shared" si="326"/>
        <v>949840</v>
      </c>
      <c r="X86" s="28"/>
      <c r="Y86" s="28">
        <f>+J86*O86</f>
        <v>178020</v>
      </c>
      <c r="Z86" s="28">
        <f t="shared" si="327"/>
        <v>596500.67597786535</v>
      </c>
      <c r="AA86" s="28">
        <f t="shared" si="328"/>
        <v>19070.422469386631</v>
      </c>
      <c r="AB86" s="28">
        <f t="shared" si="329"/>
        <v>0</v>
      </c>
      <c r="AC86" s="28"/>
      <c r="AD86" s="28"/>
      <c r="AE86" s="28">
        <f t="shared" si="346"/>
        <v>0</v>
      </c>
      <c r="AF86" s="28">
        <f t="shared" si="330"/>
        <v>0</v>
      </c>
      <c r="AG86" s="48">
        <f ca="1">SUMIFS(Adjustments!H$5:H$557,Adjustments!$B$5:$B$557,'Jul17-Jun18 Retail'!$D86,Adjustments!$C$5:$C$557,'Jul17-Jun18 Retail'!$E86)</f>
        <v>0</v>
      </c>
      <c r="AH86" s="48">
        <f ca="1">SUMIFS(Adjustments!I$5:I$557,Adjustments!$B$5:$B$557,'Jul17-Jun18 Retail'!$D86,Adjustments!$C$5:$C$557,'Jul17-Jun18 Retail'!$E86)</f>
        <v>0</v>
      </c>
      <c r="AI86" s="40">
        <f ca="1">SUMIFS(Adjustments!J$5:J$557,Adjustments!$B$5:$B$557,'Jul17-Jun18 Retail'!$D86,Adjustments!$C$5:$C$557,'Jul17-Jun18 Retail'!$E86)</f>
        <v>0</v>
      </c>
      <c r="AJ86" s="40">
        <f ca="1">SUMIFS(Adjustments!K$5:K$557,Adjustments!$B$5:$B$557,'Jul17-Jun18 Retail'!$D86,Adjustments!$C$5:$C$557,'Jul17-Jun18 Retail'!$E86)</f>
        <v>0</v>
      </c>
      <c r="AK86" s="40">
        <f ca="1">SUMIFS(Adjustments!L$5:L$557,Adjustments!$B$5:$B$557,'Jul17-Jun18 Retail'!$D86,Adjustments!$C$5:$C$557,'Jul17-Jun18 Retail'!$E86)</f>
        <v>0</v>
      </c>
      <c r="AL86" s="40">
        <f ca="1">SUMIFS(Adjustments!M$5:M$557,Adjustments!$B$5:$B$557,'Jul17-Jun18 Retail'!$D86,Adjustments!$C$5:$C$557,'Jul17-Jun18 Retail'!$E86)</f>
        <v>0</v>
      </c>
      <c r="AM86" s="40">
        <f ca="1">SUMIFS(Adjustments!N$5:N$557,Adjustments!$B$5:$B$557,'Jul17-Jun18 Retail'!$D86,Adjustments!$C$5:$C$557,'Jul17-Jun18 Retail'!$E86)</f>
        <v>0</v>
      </c>
      <c r="AN86" s="40">
        <f ca="1">SUMIFS(Adjustments!O$5:O$557,Adjustments!$B$5:$B$557,'Jul17-Jun18 Retail'!$D86,Adjustments!$C$5:$C$557,'Jul17-Jun18 Retail'!$E86)</f>
        <v>0</v>
      </c>
      <c r="AO86" s="40">
        <f ca="1">SUMIFS(Adjustments!P$5:P$557,Adjustments!$B$5:$B$557,'Jul17-Jun18 Retail'!$D86,Adjustments!$C$5:$C$557,'Jul17-Jun18 Retail'!$E86)</f>
        <v>0</v>
      </c>
      <c r="AP86" s="28">
        <f t="shared" ca="1" si="331"/>
        <v>949840</v>
      </c>
      <c r="AQ86" s="28">
        <f t="shared" ca="1" si="332"/>
        <v>178020</v>
      </c>
      <c r="AR86" s="28">
        <f t="shared" ca="1" si="333"/>
        <v>596500.67597786535</v>
      </c>
      <c r="AS86" s="28">
        <f t="shared" ca="1" si="334"/>
        <v>19070.422469386631</v>
      </c>
      <c r="AT86" s="35">
        <f t="shared" si="335"/>
        <v>1168726.0140398529</v>
      </c>
      <c r="AU86" s="35">
        <f t="shared" si="336"/>
        <v>96182.243240868193</v>
      </c>
      <c r="AV86" s="35"/>
      <c r="AW86" s="35">
        <f t="shared" si="337"/>
        <v>885679.20118788676</v>
      </c>
      <c r="AX86" s="28">
        <f t="shared" ca="1" si="338"/>
        <v>0</v>
      </c>
      <c r="AY86" s="28"/>
      <c r="AZ86" s="35">
        <f t="shared" ref="AZ86:AZ88" ca="1" si="349">ROUND(SUM(AP86:AY86),2)</f>
        <v>3894018.56</v>
      </c>
      <c r="BA86" s="35">
        <f t="shared" ref="BA86:BA88" si="350">SUM(BC86:BJ86)-BF86</f>
        <v>3894018.5569389807</v>
      </c>
      <c r="BB86" s="36">
        <f t="shared" ca="1" si="340"/>
        <v>1</v>
      </c>
      <c r="BC86" s="35">
        <f>SUMIFS('Fin Forecast'!$V$3:$V$600,'Fin Forecast'!$B$3:$B$600,'Jul17-Jun18 Retail'!$E86,'Fin Forecast'!$C$3:$C$600,'Jul17-Jun18 Retail'!$BC$5)*1000</f>
        <v>96182.243240868193</v>
      </c>
      <c r="BD86" s="35">
        <f>SUMIFS('Fin Forecast'!$V$3:$V$600,'Fin Forecast'!$B$3:$B$600,'Jul17-Jun18 Retail'!$E86,'Fin Forecast'!$C$3:$C$600,'Jul17-Jun18 Retail'!$BD$5)*1000</f>
        <v>1168726.0140398529</v>
      </c>
      <c r="BE86" s="35"/>
      <c r="BF86" s="35"/>
      <c r="BG86" s="35">
        <f>SUMIFS('Fin Forecast'!$V$3:$V$600,'Fin Forecast'!$B$3:$B$600,'Jul17-Jun18 Retail'!$E86,'Fin Forecast'!$C$3:$C$600,'Jul17-Jun18 Retail'!$BG$5)*1000</f>
        <v>1127860</v>
      </c>
      <c r="BH86" s="35">
        <f>SUMIFS('Fin Forecast'!$V$3:$V$600,'Fin Forecast'!$B$3:$B$600,'Jul17-Jun18 Retail'!$E86,'Fin Forecast'!$C$3:$C$600,'Jul17-Jun18 Retail'!$BH$5)*1000</f>
        <v>615571.09847037261</v>
      </c>
      <c r="BI86" s="35">
        <f>SUMIFS('Fin Forecast'!$V$3:$V$600,'Fin Forecast'!$B$3:$B$600,'Jul17-Jun18 Retail'!$E86,'Fin Forecast'!$C$3:$C$600,'Jul17-Jun18 Retail'!$BI$5)*1000</f>
        <v>0</v>
      </c>
      <c r="BJ86" s="35">
        <f>SUMIFS('Fin Forecast'!$V$3:$V$600,'Fin Forecast'!$B$3:$B$600,'Jul17-Jun18 Retail'!$E86,'Fin Forecast'!$C$3:$C$600,'Jul17-Jun18 Retail'!$BJ$5)*1000</f>
        <v>885679.20118788676</v>
      </c>
      <c r="BL86" s="44">
        <f t="shared" ca="1" si="341"/>
        <v>3.0610193498432636E-3</v>
      </c>
      <c r="BN86" s="49">
        <f t="shared" ca="1" si="342"/>
        <v>0</v>
      </c>
      <c r="BO86" s="49">
        <f t="shared" ca="1" si="343"/>
        <v>-2.3120664991438389E-5</v>
      </c>
      <c r="BP86" s="49">
        <f t="shared" si="344"/>
        <v>0</v>
      </c>
    </row>
    <row r="87" spans="1:68" ht="15" x14ac:dyDescent="0.25">
      <c r="A87" s="304"/>
      <c r="B87" s="304"/>
      <c r="C87" s="6">
        <f t="shared" si="348"/>
        <v>70</v>
      </c>
      <c r="D87" s="361">
        <f>$D$84</f>
        <v>43252</v>
      </c>
      <c r="E87" s="361" t="str">
        <f>+'Retail Rates'!$B$20</f>
        <v>LGCMG875</v>
      </c>
      <c r="F87" s="6" t="str">
        <f t="shared" si="345"/>
        <v>875</v>
      </c>
      <c r="G87" s="6" t="str">
        <f>VLOOKUP(E87,'Retail Rates'!$B$7:$D$34,3,FALSE)</f>
        <v>DGGS-C</v>
      </c>
      <c r="H87" s="25">
        <v>1</v>
      </c>
      <c r="I87" s="25"/>
      <c r="J87" s="25"/>
      <c r="K87" s="25">
        <v>6</v>
      </c>
      <c r="L87" s="25"/>
      <c r="M87" s="25">
        <v>483</v>
      </c>
      <c r="N87" s="26">
        <f>VLOOKUP($E87,'Retail Rates'!$B$7:$L$34,5,FALSE)</f>
        <v>40</v>
      </c>
      <c r="O87" s="26">
        <f>VLOOKUP($E87,'Retail Rates'!$B$7:$L$34,6,FALSE)</f>
        <v>180</v>
      </c>
      <c r="P87" s="27">
        <f>VLOOKUP($E87,'Retail Rates'!$B$7:$L$34,7,FALSE)</f>
        <v>3.329E-2</v>
      </c>
      <c r="Q87" s="27">
        <f>VLOOKUP($E87,'Retail Rates'!$B$7:$L$34,8,FALSE)</f>
        <v>0</v>
      </c>
      <c r="R87" s="27"/>
      <c r="S87" s="26">
        <f>VLOOKUP($E87,'Retail Rates'!$B$7:$L$34,9,FALSE)</f>
        <v>0</v>
      </c>
      <c r="T87" s="27">
        <f>VLOOKUP($E87,'Retail Rates'!$B$7:$L$34,10,FALSE)</f>
        <v>0</v>
      </c>
      <c r="U87" s="403">
        <f>VLOOKUP($E87,'Retail Rates'!$B$7:$L$34,11,FALSE)</f>
        <v>1.1263000000000001</v>
      </c>
      <c r="V87" s="309"/>
      <c r="W87" s="28">
        <f t="shared" si="326"/>
        <v>40</v>
      </c>
      <c r="X87" s="28"/>
      <c r="Y87" s="28"/>
      <c r="Z87" s="28">
        <f t="shared" si="327"/>
        <v>0.19974</v>
      </c>
      <c r="AA87" s="28">
        <f t="shared" si="328"/>
        <v>0</v>
      </c>
      <c r="AB87" s="28">
        <f t="shared" si="329"/>
        <v>0</v>
      </c>
      <c r="AC87" s="28"/>
      <c r="AD87" s="28"/>
      <c r="AE87" s="28">
        <f t="shared" si="346"/>
        <v>544.00290000000007</v>
      </c>
      <c r="AF87" s="28">
        <f t="shared" si="330"/>
        <v>0</v>
      </c>
      <c r="AG87" s="48">
        <f ca="1">SUMIFS(Adjustments!H$5:H$557,Adjustments!$B$5:$B$557,'Jul17-Jun18 Retail'!$D87,Adjustments!$C$5:$C$557,'Jul17-Jun18 Retail'!$E87)</f>
        <v>0</v>
      </c>
      <c r="AH87" s="48">
        <f ca="1">SUMIFS(Adjustments!I$5:I$557,Adjustments!$B$5:$B$557,'Jul17-Jun18 Retail'!$D87,Adjustments!$C$5:$C$557,'Jul17-Jun18 Retail'!$E87)</f>
        <v>0</v>
      </c>
      <c r="AI87" s="40">
        <f ca="1">SUMIFS(Adjustments!J$5:J$557,Adjustments!$B$5:$B$557,'Jul17-Jun18 Retail'!$D87,Adjustments!$C$5:$C$557,'Jul17-Jun18 Retail'!$E87)</f>
        <v>0</v>
      </c>
      <c r="AJ87" s="40">
        <f ca="1">SUMIFS(Adjustments!K$5:K$557,Adjustments!$B$5:$B$557,'Jul17-Jun18 Retail'!$D87,Adjustments!$C$5:$C$557,'Jul17-Jun18 Retail'!$E87)</f>
        <v>0</v>
      </c>
      <c r="AK87" s="40">
        <f ca="1">SUMIFS(Adjustments!L$5:L$557,Adjustments!$B$5:$B$557,'Jul17-Jun18 Retail'!$D87,Adjustments!$C$5:$C$557,'Jul17-Jun18 Retail'!$E87)</f>
        <v>0</v>
      </c>
      <c r="AL87" s="40">
        <f ca="1">SUMIFS(Adjustments!M$5:M$557,Adjustments!$B$5:$B$557,'Jul17-Jun18 Retail'!$D87,Adjustments!$C$5:$C$557,'Jul17-Jun18 Retail'!$E87)</f>
        <v>0</v>
      </c>
      <c r="AM87" s="40">
        <f ca="1">SUMIFS(Adjustments!N$5:N$557,Adjustments!$B$5:$B$557,'Jul17-Jun18 Retail'!$D87,Adjustments!$C$5:$C$557,'Jul17-Jun18 Retail'!$E87)</f>
        <v>0</v>
      </c>
      <c r="AN87" s="40">
        <f ca="1">SUMIFS(Adjustments!O$5:O$557,Adjustments!$B$5:$B$557,'Jul17-Jun18 Retail'!$D87,Adjustments!$C$5:$C$557,'Jul17-Jun18 Retail'!$E87)</f>
        <v>0</v>
      </c>
      <c r="AO87" s="40">
        <f ca="1">SUMIFS(Adjustments!P$5:P$557,Adjustments!$B$5:$B$557,'Jul17-Jun18 Retail'!$D87,Adjustments!$C$5:$C$557,'Jul17-Jun18 Retail'!$E87)</f>
        <v>0</v>
      </c>
      <c r="AP87" s="28">
        <f t="shared" ca="1" si="331"/>
        <v>40</v>
      </c>
      <c r="AQ87" s="28">
        <f t="shared" ca="1" si="332"/>
        <v>0</v>
      </c>
      <c r="AR87" s="28">
        <f t="shared" ca="1" si="333"/>
        <v>0.19974</v>
      </c>
      <c r="AS87" s="28">
        <f t="shared" ca="1" si="334"/>
        <v>0</v>
      </c>
      <c r="AT87" s="35">
        <f t="shared" si="335"/>
        <v>2.42687763190452</v>
      </c>
      <c r="AU87" s="35">
        <f t="shared" si="336"/>
        <v>0.19972391467595299</v>
      </c>
      <c r="AV87" s="35"/>
      <c r="AW87" s="35">
        <f t="shared" si="337"/>
        <v>0</v>
      </c>
      <c r="AX87" s="28">
        <f t="shared" ca="1" si="338"/>
        <v>544.00290000000007</v>
      </c>
      <c r="AY87" s="28"/>
      <c r="AZ87" s="35">
        <f t="shared" ca="1" si="349"/>
        <v>586.83000000000004</v>
      </c>
      <c r="BA87" s="35">
        <f t="shared" si="350"/>
        <v>586.82924154658042</v>
      </c>
      <c r="BB87" s="36">
        <f t="shared" ca="1" si="340"/>
        <v>0.99999899999999997</v>
      </c>
      <c r="BC87" s="35">
        <f>SUMIFS('Fin Forecast'!$V$3:$V$600,'Fin Forecast'!$B$3:$B$600,'Jul17-Jun18 Retail'!$E87,'Fin Forecast'!$C$3:$C$600,'Jul17-Jun18 Retail'!$BC$5)*1000</f>
        <v>0.19972391467595299</v>
      </c>
      <c r="BD87" s="35">
        <f>SUMIFS('Fin Forecast'!$V$3:$V$600,'Fin Forecast'!$B$3:$B$600,'Jul17-Jun18 Retail'!$E87,'Fin Forecast'!$C$3:$C$600,'Jul17-Jun18 Retail'!$BD$5)*1000</f>
        <v>2.42687763190452</v>
      </c>
      <c r="BE87" s="35"/>
      <c r="BF87" s="35"/>
      <c r="BG87" s="35">
        <f>SUMIFS('Fin Forecast'!$V$3:$V$600,'Fin Forecast'!$B$3:$B$600,'Jul17-Jun18 Retail'!$E87,'Fin Forecast'!$C$3:$C$600,'Jul17-Jun18 Retail'!$BG$5)*1000</f>
        <v>40</v>
      </c>
      <c r="BH87" s="35">
        <f>SUMIFS('Fin Forecast'!$V$3:$V$600,'Fin Forecast'!$B$3:$B$600,'Jul17-Jun18 Retail'!$E87,'Fin Forecast'!$C$3:$C$600,'Jul17-Jun18 Retail'!$BH$5)*1000</f>
        <v>0.199739999999999</v>
      </c>
      <c r="BI87" s="35">
        <f>SUMIFS('Fin Forecast'!$V$3:$V$600,'Fin Forecast'!$B$3:$B$600,'Jul17-Jun18 Retail'!$E87,'Fin Forecast'!$C$3:$C$600,'Jul17-Jun18 Retail'!$BI$5)*1000</f>
        <v>544.00289999999995</v>
      </c>
      <c r="BJ87" s="35">
        <f>SUMIFS('Fin Forecast'!$V$3:$V$600,'Fin Forecast'!$B$3:$B$600,'Jul17-Jun18 Retail'!$E87,'Fin Forecast'!$C$3:$C$600,'Jul17-Jun18 Retail'!$BJ$5)*1000</f>
        <v>0</v>
      </c>
      <c r="BL87" s="44">
        <f t="shared" ca="1" si="341"/>
        <v>7.5845341962121893E-4</v>
      </c>
      <c r="BN87" s="49">
        <f t="shared" ca="1" si="342"/>
        <v>0</v>
      </c>
      <c r="BO87" s="49">
        <f t="shared" ca="1" si="343"/>
        <v>9.9920072216264089E-16</v>
      </c>
      <c r="BP87" s="49">
        <f t="shared" si="344"/>
        <v>0</v>
      </c>
    </row>
    <row r="88" spans="1:68" ht="15" x14ac:dyDescent="0.25">
      <c r="A88" s="13" t="s">
        <v>445</v>
      </c>
      <c r="B88" s="13" t="s">
        <v>446</v>
      </c>
      <c r="C88" s="6">
        <f t="shared" si="348"/>
        <v>71</v>
      </c>
      <c r="D88" s="361">
        <f>$D$84</f>
        <v>43252</v>
      </c>
      <c r="E88" s="361" t="str">
        <f>+'Retail Rates'!$B$26</f>
        <v>LGING855</v>
      </c>
      <c r="F88" s="6" t="str">
        <f t="shared" si="345"/>
        <v>855</v>
      </c>
      <c r="G88" s="6" t="s">
        <v>111</v>
      </c>
      <c r="H88" s="25"/>
      <c r="I88" s="25">
        <f>SUMIFS('Forcasted Customer Cts'!$AA$5:$AA$36,'Forcasted Customer Cts'!$D$5:$D$36,'Jul17-Jun18 Retail'!$E88,'Forcasted Customer Cts'!$C$5:$C$36,'Jul17-Jun18 Retail'!$A$9)</f>
        <v>148</v>
      </c>
      <c r="J88" s="25">
        <f>SUMIFS('Forcasted Customer Cts'!$AA$5:$AA$36,'Forcasted Customer Cts'!$D$5:$D$36,'Jul17-Jun18 Retail'!$E88,'Forcasted Customer Cts'!$C$5:$C$36,'Jul17-Jun18 Retail'!$B$9)</f>
        <v>116</v>
      </c>
      <c r="K88" s="25">
        <f>SUMIFS('Forecasted Calendar Month Usage'!$AI$5:$AI$41,'Forecasted Calendar Month Usage'!$D$5:$D$41,'Jul17-Jun18 Retail'!$E88,'Forecasted Calendar Month Usage'!$C$5:$C$41,'Jul17-Jun18 Retail'!$A$11)*10</f>
        <v>613307.05803724006</v>
      </c>
      <c r="L88" s="25">
        <f>SUMIFS('Forecasted Calendar Month Usage'!$AI$5:$AI$41,'Forecasted Calendar Month Usage'!$D$5:$D$41,'Jul17-Jun18 Retail'!$E88,'Forecasted Calendar Month Usage'!$C$5:$C$41,'Jul17-Jun18 Retail'!$B$11)*10</f>
        <v>200210.29689560481</v>
      </c>
      <c r="M88" s="25"/>
      <c r="N88" s="26">
        <f>VLOOKUP($E88,'Retail Rates'!$B$7:$L$34,5,FALSE)</f>
        <v>40</v>
      </c>
      <c r="O88" s="26">
        <f>VLOOKUP($E88,'Retail Rates'!$B$7:$L$34,6,FALSE)</f>
        <v>180</v>
      </c>
      <c r="P88" s="27">
        <f>VLOOKUP($E88,'Retail Rates'!$B$7:$L$34,7,FALSE)</f>
        <v>0.22778999999999999</v>
      </c>
      <c r="Q88" s="27">
        <f>VLOOKUP($E88,'Retail Rates'!$B$7:$L$34,8,FALSE)</f>
        <v>0.17779</v>
      </c>
      <c r="R88" s="27"/>
      <c r="S88" s="26">
        <f>VLOOKUP($E88,'Retail Rates'!$B$7:$L$34,9,FALSE)</f>
        <v>0</v>
      </c>
      <c r="T88" s="27">
        <f>VLOOKUP($E88,'Retail Rates'!$B$7:$L$34,10,FALSE)</f>
        <v>0</v>
      </c>
      <c r="U88" s="26">
        <f>VLOOKUP($E88,'Retail Rates'!$B$7:$L$34,11,FALSE)</f>
        <v>0</v>
      </c>
      <c r="V88" s="309"/>
      <c r="W88" s="28">
        <f t="shared" si="326"/>
        <v>5920</v>
      </c>
      <c r="X88" s="28"/>
      <c r="Y88" s="28">
        <f t="shared" ref="Y88" si="351">+J88*O88</f>
        <v>20880</v>
      </c>
      <c r="Z88" s="28">
        <f t="shared" si="327"/>
        <v>139705.2147503029</v>
      </c>
      <c r="AA88" s="28">
        <f t="shared" si="328"/>
        <v>35595.388685069578</v>
      </c>
      <c r="AB88" s="28">
        <f t="shared" si="329"/>
        <v>0</v>
      </c>
      <c r="AC88" s="28"/>
      <c r="AD88" s="28"/>
      <c r="AE88" s="28">
        <f t="shared" si="346"/>
        <v>0</v>
      </c>
      <c r="AF88" s="28">
        <f>(+I88*V88)+(J88*V88)</f>
        <v>0</v>
      </c>
      <c r="AG88" s="48">
        <f ca="1">SUMIFS(Adjustments!H$5:H$557,Adjustments!$B$5:$B$557,'Jul17-Jun18 Retail'!$D88,Adjustments!$C$5:$C$557,'Jul17-Jun18 Retail'!$E88)</f>
        <v>0</v>
      </c>
      <c r="AH88" s="48">
        <f ca="1">SUMIFS(Adjustments!I$5:I$557,Adjustments!$B$5:$B$557,'Jul17-Jun18 Retail'!$D88,Adjustments!$C$5:$C$557,'Jul17-Jun18 Retail'!$E88)</f>
        <v>0</v>
      </c>
      <c r="AI88" s="40">
        <f ca="1">SUMIFS(Adjustments!J$5:J$557,Adjustments!$B$5:$B$557,'Jul17-Jun18 Retail'!$D88,Adjustments!$C$5:$C$557,'Jul17-Jun18 Retail'!$E88)</f>
        <v>0</v>
      </c>
      <c r="AJ88" s="40">
        <f ca="1">SUMIFS(Adjustments!K$5:K$557,Adjustments!$B$5:$B$557,'Jul17-Jun18 Retail'!$D88,Adjustments!$C$5:$C$557,'Jul17-Jun18 Retail'!$E88)</f>
        <v>0</v>
      </c>
      <c r="AK88" s="40">
        <f ca="1">SUMIFS(Adjustments!L$5:L$557,Adjustments!$B$5:$B$557,'Jul17-Jun18 Retail'!$D88,Adjustments!$C$5:$C$557,'Jul17-Jun18 Retail'!$E88)</f>
        <v>0</v>
      </c>
      <c r="AL88" s="40">
        <f ca="1">SUMIFS(Adjustments!M$5:M$557,Adjustments!$B$5:$B$557,'Jul17-Jun18 Retail'!$D88,Adjustments!$C$5:$C$557,'Jul17-Jun18 Retail'!$E88)</f>
        <v>0</v>
      </c>
      <c r="AM88" s="40">
        <f ca="1">SUMIFS(Adjustments!N$5:N$557,Adjustments!$B$5:$B$557,'Jul17-Jun18 Retail'!$D88,Adjustments!$C$5:$C$557,'Jul17-Jun18 Retail'!$E88)</f>
        <v>0</v>
      </c>
      <c r="AN88" s="40">
        <f ca="1">SUMIFS(Adjustments!O$5:O$557,Adjustments!$B$5:$B$557,'Jul17-Jun18 Retail'!$D88,Adjustments!$C$5:$C$557,'Jul17-Jun18 Retail'!$E88)</f>
        <v>0</v>
      </c>
      <c r="AO88" s="40">
        <f ca="1">SUMIFS(Adjustments!P$5:P$557,Adjustments!$B$5:$B$557,'Jul17-Jun18 Retail'!$D88,Adjustments!$C$5:$C$557,'Jul17-Jun18 Retail'!$E88)</f>
        <v>0</v>
      </c>
      <c r="AP88" s="28">
        <f t="shared" ca="1" si="331"/>
        <v>5920</v>
      </c>
      <c r="AQ88" s="28">
        <f t="shared" ca="1" si="332"/>
        <v>20880</v>
      </c>
      <c r="AR88" s="28">
        <f t="shared" ca="1" si="333"/>
        <v>139705.2147503029</v>
      </c>
      <c r="AS88" s="28">
        <f t="shared" ca="1" si="334"/>
        <v>35595.388685069578</v>
      </c>
      <c r="AT88" s="35">
        <f t="shared" si="335"/>
        <v>329051.17861668841</v>
      </c>
      <c r="AU88" s="35">
        <f t="shared" si="336"/>
        <v>0</v>
      </c>
      <c r="AV88" s="35"/>
      <c r="AW88" s="35">
        <f t="shared" si="337"/>
        <v>79314.261686802478</v>
      </c>
      <c r="AX88" s="28">
        <f t="shared" ca="1" si="338"/>
        <v>0</v>
      </c>
      <c r="AY88" s="28"/>
      <c r="AZ88" s="35">
        <f t="shared" ca="1" si="349"/>
        <v>610466.04</v>
      </c>
      <c r="BA88" s="35">
        <f t="shared" si="350"/>
        <v>610466.04372532771</v>
      </c>
      <c r="BB88" s="36">
        <f t="shared" ca="1" si="340"/>
        <v>1</v>
      </c>
      <c r="BC88" s="35">
        <f>SUMIFS('Fin Forecast'!$V$3:$V$600,'Fin Forecast'!$B$3:$B$600,'Jul17-Jun18 Retail'!$E88,'Fin Forecast'!$C$3:$C$600,'Jul17-Jun18 Retail'!$BC$5)*1000</f>
        <v>0</v>
      </c>
      <c r="BD88" s="35">
        <f>SUMIFS('Fin Forecast'!$V$3:$V$600,'Fin Forecast'!$B$3:$B$600,'Jul17-Jun18 Retail'!$E88,'Fin Forecast'!$C$3:$C$600,'Jul17-Jun18 Retail'!$BD$5)*1000</f>
        <v>329051.17861668841</v>
      </c>
      <c r="BE88" s="35"/>
      <c r="BF88" s="35"/>
      <c r="BG88" s="35">
        <f>SUMIFS('Fin Forecast'!$V$3:$V$600,'Fin Forecast'!$B$3:$B$600,'Jul17-Jun18 Retail'!$E88,'Fin Forecast'!$C$3:$C$600,'Jul17-Jun18 Retail'!$BG$5)*1000</f>
        <v>26800</v>
      </c>
      <c r="BH88" s="35">
        <f>SUMIFS('Fin Forecast'!$V$3:$V$600,'Fin Forecast'!$B$3:$B$600,'Jul17-Jun18 Retail'!$E88,'Fin Forecast'!$C$3:$C$600,'Jul17-Jun18 Retail'!$BH$5)*1000</f>
        <v>175300.6034218368</v>
      </c>
      <c r="BI88" s="35">
        <f>SUMIFS('Fin Forecast'!$V$3:$V$600,'Fin Forecast'!$B$3:$B$600,'Jul17-Jun18 Retail'!$E88,'Fin Forecast'!$C$3:$C$600,'Jul17-Jun18 Retail'!$BI$5)*1000</f>
        <v>0</v>
      </c>
      <c r="BJ88" s="35">
        <f>SUMIFS('Fin Forecast'!$V$3:$V$600,'Fin Forecast'!$B$3:$B$600,'Jul17-Jun18 Retail'!$E88,'Fin Forecast'!$C$3:$C$600,'Jul17-Jun18 Retail'!$BJ$5)*1000</f>
        <v>79314.261686802478</v>
      </c>
      <c r="BL88" s="44">
        <f t="shared" ca="1" si="341"/>
        <v>-3.7253276677802205E-3</v>
      </c>
      <c r="BN88" s="49">
        <f t="shared" ca="1" si="342"/>
        <v>0</v>
      </c>
      <c r="BO88" s="49">
        <f t="shared" ca="1" si="343"/>
        <v>1.3535667676478624E-5</v>
      </c>
      <c r="BP88" s="49">
        <f t="shared" si="344"/>
        <v>0</v>
      </c>
    </row>
    <row r="89" spans="1:68" ht="15" x14ac:dyDescent="0.25">
      <c r="C89" s="6">
        <f t="shared" si="348"/>
        <v>72</v>
      </c>
      <c r="D89" s="361">
        <f>$D$84</f>
        <v>43252</v>
      </c>
      <c r="E89" s="361" t="str">
        <f>+'Retail Rates'!$B$31</f>
        <v>LGRSG811</v>
      </c>
      <c r="F89" s="6" t="str">
        <f t="shared" si="345"/>
        <v>811</v>
      </c>
      <c r="G89" s="6" t="str">
        <f>VLOOKUP(E89,'Retail Rates'!$B$7:$D$34,3,FALSE)</f>
        <v>RGS</v>
      </c>
      <c r="H89" s="25">
        <f>SUMIF('Forcasted Customer Cts'!$D$5:$D$36,'Jul17-Jun18 Retail'!$E89,'Forcasted Customer Cts'!$AA$5:$AA$36)</f>
        <v>296513</v>
      </c>
      <c r="I89" s="25"/>
      <c r="J89" s="25"/>
      <c r="K89" s="25">
        <f>SUMIF('Forecasted Calendar Month Usage'!$D$5:$D$41,'Jul17-Jun18 Retail'!$E89,'Forecasted Calendar Month Usage'!$AI$5:$AI$41)*10</f>
        <v>3841947.9199744174</v>
      </c>
      <c r="L89" s="25"/>
      <c r="M89" s="25"/>
      <c r="N89" s="26">
        <f>VLOOKUP($E89,'Retail Rates'!$B$7:$L$34,5,FALSE)</f>
        <v>13.5</v>
      </c>
      <c r="O89" s="26">
        <f>VLOOKUP($E89,'Retail Rates'!$B$7:$L$34,6,FALSE)</f>
        <v>0</v>
      </c>
      <c r="P89" s="27">
        <f>VLOOKUP($E89,'Retail Rates'!$B$7:$L$34,7,FALSE)</f>
        <v>0.28693000000000002</v>
      </c>
      <c r="Q89" s="27">
        <f>VLOOKUP($E89,'Retail Rates'!$B$7:$L$34,8,FALSE)</f>
        <v>0</v>
      </c>
      <c r="R89" s="27"/>
      <c r="S89" s="26">
        <f>VLOOKUP($E89,'Retail Rates'!$B$7:$L$34,9,FALSE)</f>
        <v>0</v>
      </c>
      <c r="T89" s="27">
        <f>VLOOKUP($E89,'Retail Rates'!$B$7:$L$34,10,FALSE)</f>
        <v>0</v>
      </c>
      <c r="U89" s="26">
        <f>VLOOKUP($E89,'Retail Rates'!$B$7:$L$34,11,FALSE)</f>
        <v>0</v>
      </c>
      <c r="V89" s="309"/>
      <c r="W89" s="28">
        <f t="shared" si="326"/>
        <v>4002925.5</v>
      </c>
      <c r="X89" s="28"/>
      <c r="Y89" s="28"/>
      <c r="Z89" s="28">
        <f t="shared" si="327"/>
        <v>1102370.1166782596</v>
      </c>
      <c r="AA89" s="28">
        <f t="shared" si="328"/>
        <v>0</v>
      </c>
      <c r="AB89" s="28">
        <f t="shared" si="329"/>
        <v>0</v>
      </c>
      <c r="AC89" s="28"/>
      <c r="AD89" s="28"/>
      <c r="AE89" s="28">
        <f t="shared" si="346"/>
        <v>0</v>
      </c>
      <c r="AF89" s="28">
        <f t="shared" ref="AF89" si="352">(+H89*V89)+(I89*V89)</f>
        <v>0</v>
      </c>
      <c r="AG89" s="48">
        <f ca="1">SUMIFS(Adjustments!H$5:H$557,Adjustments!$B$5:$B$557,'Jul17-Jun18 Retail'!$D89,Adjustments!$C$5:$C$557,'Jul17-Jun18 Retail'!$E89)</f>
        <v>0</v>
      </c>
      <c r="AH89" s="48">
        <f ca="1">SUMIFS(Adjustments!I$5:I$557,Adjustments!$B$5:$B$557,'Jul17-Jun18 Retail'!$D89,Adjustments!$C$5:$C$557,'Jul17-Jun18 Retail'!$E89)</f>
        <v>0</v>
      </c>
      <c r="AI89" s="40">
        <f ca="1">SUMIFS(Adjustments!J$5:J$557,Adjustments!$B$5:$B$557,'Jul17-Jun18 Retail'!$D89,Adjustments!$C$5:$C$557,'Jul17-Jun18 Retail'!$E89)</f>
        <v>0</v>
      </c>
      <c r="AJ89" s="40">
        <f ca="1">SUMIFS(Adjustments!K$5:K$557,Adjustments!$B$5:$B$557,'Jul17-Jun18 Retail'!$D89,Adjustments!$C$5:$C$557,'Jul17-Jun18 Retail'!$E89)</f>
        <v>0</v>
      </c>
      <c r="AK89" s="40">
        <f ca="1">SUMIFS(Adjustments!L$5:L$557,Adjustments!$B$5:$B$557,'Jul17-Jun18 Retail'!$D89,Adjustments!$C$5:$C$557,'Jul17-Jun18 Retail'!$E89)</f>
        <v>0</v>
      </c>
      <c r="AL89" s="40">
        <f ca="1">SUMIFS(Adjustments!M$5:M$557,Adjustments!$B$5:$B$557,'Jul17-Jun18 Retail'!$D89,Adjustments!$C$5:$C$557,'Jul17-Jun18 Retail'!$E89)</f>
        <v>0</v>
      </c>
      <c r="AM89" s="40">
        <f ca="1">SUMIFS(Adjustments!N$5:N$557,Adjustments!$B$5:$B$557,'Jul17-Jun18 Retail'!$D89,Adjustments!$C$5:$C$557,'Jul17-Jun18 Retail'!$E89)</f>
        <v>0</v>
      </c>
      <c r="AN89" s="40">
        <f ca="1">SUMIFS(Adjustments!O$5:O$557,Adjustments!$B$5:$B$557,'Jul17-Jun18 Retail'!$D89,Adjustments!$C$5:$C$557,'Jul17-Jun18 Retail'!$E89)</f>
        <v>0</v>
      </c>
      <c r="AO89" s="40">
        <f ca="1">SUMIFS(Adjustments!P$5:P$557,Adjustments!$B$5:$B$557,'Jul17-Jun18 Retail'!$D89,Adjustments!$C$5:$C$557,'Jul17-Jun18 Retail'!$E89)</f>
        <v>0</v>
      </c>
      <c r="AP89" s="28">
        <f t="shared" ref="AP89" ca="1" si="353">+W89+AI89+(AG89*N89)</f>
        <v>4002925.5</v>
      </c>
      <c r="AQ89" s="28">
        <f t="shared" ca="1" si="332"/>
        <v>0</v>
      </c>
      <c r="AR89" s="28">
        <f t="shared" ca="1" si="333"/>
        <v>1102370.1166782596</v>
      </c>
      <c r="AS89" s="28">
        <f t="shared" ca="1" si="334"/>
        <v>0</v>
      </c>
      <c r="AT89" s="35">
        <f t="shared" si="335"/>
        <v>1553989.57822558</v>
      </c>
      <c r="AU89" s="35">
        <f t="shared" si="336"/>
        <v>127888.146418524</v>
      </c>
      <c r="AV89" s="35"/>
      <c r="AW89" s="35">
        <f t="shared" si="337"/>
        <v>2064771.6088842498</v>
      </c>
      <c r="AX89" s="28">
        <f t="shared" ca="1" si="338"/>
        <v>0</v>
      </c>
      <c r="AY89" s="28"/>
      <c r="AZ89" s="35">
        <f t="shared" ref="AZ89" ca="1" si="354">ROUND(SUM(AP89:AY89),2)</f>
        <v>8851944.9499999993</v>
      </c>
      <c r="BA89" s="35">
        <f t="shared" ref="BA89" si="355">SUM(BC89:BJ89)-BF89</f>
        <v>8851944.9501386844</v>
      </c>
      <c r="BB89" s="36">
        <f t="shared" ca="1" si="340"/>
        <v>1</v>
      </c>
      <c r="BC89" s="35">
        <f>SUMIFS('Fin Forecast'!$V$3:$V$600,'Fin Forecast'!$B$3:$B$600,'Jul17-Jun18 Retail'!$E89,'Fin Forecast'!$C$3:$C$600,'Jul17-Jun18 Retail'!$BC$5)*1000</f>
        <v>127888.146418524</v>
      </c>
      <c r="BD89" s="35">
        <f>SUMIFS('Fin Forecast'!$V$3:$V$600,'Fin Forecast'!$B$3:$B$600,'Jul17-Jun18 Retail'!$E89,'Fin Forecast'!$C$3:$C$600,'Jul17-Jun18 Retail'!$BD$5)*1000</f>
        <v>1553989.57822558</v>
      </c>
      <c r="BE89" s="35"/>
      <c r="BF89" s="35"/>
      <c r="BG89" s="35">
        <f>SUMIFS('Fin Forecast'!$V$3:$V$600,'Fin Forecast'!$B$3:$B$600,'Jul17-Jun18 Retail'!$E89,'Fin Forecast'!$C$3:$C$600,'Jul17-Jun18 Retail'!$BG$5)*1000</f>
        <v>4002925.5</v>
      </c>
      <c r="BH89" s="35">
        <f>SUMIFS('Fin Forecast'!$V$3:$V$600,'Fin Forecast'!$B$3:$B$600,'Jul17-Jun18 Retail'!$E89,'Fin Forecast'!$C$3:$C$600,'Jul17-Jun18 Retail'!$BH$5)*1000</f>
        <v>1102370.1166103298</v>
      </c>
      <c r="BI89" s="35">
        <f>SUMIFS('Fin Forecast'!$V$3:$V$600,'Fin Forecast'!$B$3:$B$600,'Jul17-Jun18 Retail'!$E89,'Fin Forecast'!$C$3:$C$600,'Jul17-Jun18 Retail'!$BI$5)*1000</f>
        <v>0</v>
      </c>
      <c r="BJ89" s="35">
        <f>SUMIFS('Fin Forecast'!$V$3:$V$600,'Fin Forecast'!$B$3:$B$600,'Jul17-Jun18 Retail'!$E89,'Fin Forecast'!$C$3:$C$600,'Jul17-Jun18 Retail'!$BJ$5)*1000</f>
        <v>2064771.6088842498</v>
      </c>
      <c r="BL89" s="44">
        <f t="shared" ca="1" si="341"/>
        <v>-1.3868510723114014E-4</v>
      </c>
      <c r="BN89" s="49">
        <f t="shared" ca="1" si="342"/>
        <v>0</v>
      </c>
      <c r="BO89" s="49">
        <f t="shared" ca="1" si="343"/>
        <v>6.7929737269878387E-5</v>
      </c>
      <c r="BP89" s="49">
        <f t="shared" si="344"/>
        <v>0</v>
      </c>
    </row>
    <row r="90" spans="1:68" s="323" customFormat="1" ht="15" x14ac:dyDescent="0.25">
      <c r="C90" s="324"/>
      <c r="D90" s="363"/>
      <c r="E90" s="363"/>
      <c r="AP90" s="329">
        <f t="shared" ref="AP90:AS90" ca="1" si="356">SUM(AP7:AP89)</f>
        <v>59598658.5</v>
      </c>
      <c r="AQ90" s="329">
        <f t="shared" ca="1" si="356"/>
        <v>2402280</v>
      </c>
      <c r="AR90" s="329">
        <f t="shared" ca="1" si="356"/>
        <v>80650549.053269789</v>
      </c>
      <c r="AS90" s="329">
        <f t="shared" ca="1" si="356"/>
        <v>488449.98914522084</v>
      </c>
      <c r="AT90" s="329">
        <f>SUM(AT7:AT89)</f>
        <v>135270880.39599565</v>
      </c>
      <c r="AU90" s="329">
        <f>SUM(AU7:AU89)</f>
        <v>3201787.4766642917</v>
      </c>
      <c r="AW90" s="329">
        <f>SUM(AW7:AW89)</f>
        <v>34283189.699688807</v>
      </c>
      <c r="AX90" s="329">
        <f ca="1">SUM(AX7:AX89)</f>
        <v>6528.0348000000022</v>
      </c>
      <c r="BA90" s="329"/>
      <c r="BC90" s="329">
        <f>SUM(BC7:BC89)</f>
        <v>3201787.4766642917</v>
      </c>
      <c r="BD90" s="329">
        <f>SUM(BD7:BD89)</f>
        <v>135270880.39599565</v>
      </c>
      <c r="BF90" s="329"/>
      <c r="BJ90" s="329">
        <f>SUM(BJ7:BJ89)</f>
        <v>34283189.699688807</v>
      </c>
      <c r="BL90" s="341">
        <f ca="1">SUM(BL7:BL89)</f>
        <v>1.4241690877724977E-2</v>
      </c>
    </row>
    <row r="91" spans="1:68" ht="15" x14ac:dyDescent="0.25">
      <c r="D91" s="43"/>
      <c r="E91" s="43"/>
      <c r="O91"/>
      <c r="AZ91"/>
    </row>
    <row r="92" spans="1:68" ht="15" x14ac:dyDescent="0.25">
      <c r="E92" s="593" t="s">
        <v>621</v>
      </c>
      <c r="G92" s="13" t="s">
        <v>514</v>
      </c>
      <c r="K92" s="597"/>
      <c r="L92" s="600" t="s">
        <v>627</v>
      </c>
      <c r="M92" s="600" t="s">
        <v>640</v>
      </c>
      <c r="N92" s="600" t="s">
        <v>435</v>
      </c>
      <c r="O92" s="605" t="s">
        <v>629</v>
      </c>
      <c r="AP92" s="49">
        <f ca="1">'Jul17-Jun18 Transport'!AQ92</f>
        <v>22560</v>
      </c>
      <c r="AQ92" s="49"/>
      <c r="AR92" s="49">
        <f ca="1">AR90+AS90</f>
        <v>81138999.042415008</v>
      </c>
      <c r="AX92" s="49">
        <f ca="1">AX90+'Jul17-Jun18 Transport'!BA90</f>
        <v>2244691.5228000004</v>
      </c>
    </row>
    <row r="93" spans="1:68" ht="15" x14ac:dyDescent="0.25">
      <c r="E93" s="593" t="s">
        <v>622</v>
      </c>
      <c r="G93" s="596" t="s">
        <v>623</v>
      </c>
      <c r="H93" s="52">
        <f>'Forcasted Customer Cts'!P38</f>
        <v>3860029</v>
      </c>
      <c r="K93" s="598" t="str">
        <f>+'Retail Rates'!$B$7</f>
        <v>LGCMG865</v>
      </c>
      <c r="L93" s="599">
        <f>SUMIF($E$7:$E$89,$K93,$H$7:$H$89)</f>
        <v>48</v>
      </c>
      <c r="M93" s="13">
        <f>SUM('Fin Forecast'!K7:V7)+SUM('Fin Forecast'!K403:V403)+SUM('Fin Forecast'!K279:V279)</f>
        <v>48</v>
      </c>
      <c r="N93" s="52">
        <f>L93-M93</f>
        <v>0</v>
      </c>
      <c r="O93"/>
      <c r="P93" s="418"/>
      <c r="AP93" s="49">
        <f ca="1">AP90+AP92+AQ90</f>
        <v>62023498.5</v>
      </c>
      <c r="AR93" s="49">
        <f ca="1">'Jul17-Jun18 Transport'!AS92</f>
        <v>6434150.8319084924</v>
      </c>
      <c r="AU93" s="16" t="s">
        <v>178</v>
      </c>
      <c r="AV93" s="16" t="s">
        <v>180</v>
      </c>
      <c r="AW93" s="16" t="s">
        <v>424</v>
      </c>
    </row>
    <row r="94" spans="1:68" ht="15" x14ac:dyDescent="0.25">
      <c r="E94" s="593" t="s">
        <v>601</v>
      </c>
      <c r="F94"/>
      <c r="G94" s="596" t="s">
        <v>630</v>
      </c>
      <c r="H94" s="594">
        <f>SUM(H7:J89)</f>
        <v>3859069</v>
      </c>
      <c r="K94" s="598" t="str">
        <f>+'Retail Rates'!$B$10</f>
        <v>LGING866</v>
      </c>
      <c r="L94" s="599"/>
      <c r="N94" s="52"/>
      <c r="O94"/>
      <c r="P94" s="418"/>
      <c r="AR94" s="49">
        <f ca="1">AR92+AR93</f>
        <v>87573149.874323502</v>
      </c>
      <c r="AT94" s="361" t="str">
        <f>+'Retail Rates'!$B$7</f>
        <v>LGCMG865</v>
      </c>
      <c r="AU94" s="376">
        <f>SUMIF($E$7:$E$89,$AT94,$AT$7:$AT$89)</f>
        <v>504944.4958231686</v>
      </c>
      <c r="AV94" s="376">
        <f>SUMIF($E$7:$E$89,$AT94,$AU$7:$AU$89)</f>
        <v>10394.581739040445</v>
      </c>
      <c r="AW94" s="376">
        <f>SUMIF($E$7:$E$89,$AT94,$AW$7:$AW$89)</f>
        <v>194074.40589668055</v>
      </c>
    </row>
    <row r="95" spans="1:68" ht="15" x14ac:dyDescent="0.25">
      <c r="D95" s="43"/>
      <c r="E95" s="43"/>
      <c r="F95"/>
      <c r="G95"/>
      <c r="H95" s="52">
        <f>H93-H94</f>
        <v>960</v>
      </c>
      <c r="K95" s="598" t="str">
        <f>+'Retail Rates'!$B$15</f>
        <v>LGCMG851</v>
      </c>
      <c r="L95" s="599">
        <f>SUMIF($E$7:$E$89,$K95,$I$7:$I$89)+SUMIF($E$7:$E$89,$K95,$J$7:$J$89)</f>
        <v>299360</v>
      </c>
      <c r="M95" s="599">
        <f>SUM('Fin Forecast'!K128:V128)+SUM('Fin Forecast'!K186:V186)</f>
        <v>299360</v>
      </c>
      <c r="N95" s="52">
        <f t="shared" ref="N95:N98" si="357">L95-M95</f>
        <v>0</v>
      </c>
      <c r="O95" s="296">
        <f>N95/12</f>
        <v>0</v>
      </c>
      <c r="AT95" s="361" t="str">
        <f>+'Retail Rates'!$B$10</f>
        <v>LGING866</v>
      </c>
      <c r="AU95" s="376">
        <f>SUMIF($E$7:$E$89,$AT95,$AT$7:$AT$89)</f>
        <v>0</v>
      </c>
      <c r="AV95" s="376">
        <f t="shared" ref="AV95:AV99" si="358">SUMIF($E$7:$E$89,$AT95,$AU$7:$AU$89)</f>
        <v>0</v>
      </c>
      <c r="AW95" s="376">
        <f t="shared" ref="AW95:AW99" si="359">SUMIF($E$7:$E$89,$AT95,$AW$7:$AW$89)</f>
        <v>0</v>
      </c>
    </row>
    <row r="96" spans="1:68" ht="15" x14ac:dyDescent="0.25">
      <c r="D96" s="43"/>
      <c r="E96" s="43"/>
      <c r="F96"/>
      <c r="G96" s="596" t="s">
        <v>624</v>
      </c>
      <c r="H96" s="594">
        <f>'Forcasted Customer Cts'!P44</f>
        <v>972</v>
      </c>
      <c r="K96" s="598" t="str">
        <f>+'Retail Rates'!$B$20</f>
        <v>LGCMG875</v>
      </c>
      <c r="L96" s="599">
        <f>SUMIF($E$7:$E$89,$K96,$H$7:$H$89)</f>
        <v>12</v>
      </c>
      <c r="M96" s="599">
        <f>SUM('Fin Forecast'!K36:V36)</f>
        <v>12</v>
      </c>
      <c r="N96" s="52">
        <f t="shared" si="357"/>
        <v>0</v>
      </c>
      <c r="O96"/>
      <c r="AT96" s="361" t="str">
        <f>+'Retail Rates'!$B$15</f>
        <v>LGCMG851</v>
      </c>
      <c r="AU96" s="376">
        <f t="shared" ref="AU96:AU99" si="360">SUMIF($E$7:$E$89,$AT96,$AT$7:$AT$89)</f>
        <v>43709321.934499532</v>
      </c>
      <c r="AV96" s="376">
        <f t="shared" si="358"/>
        <v>1178167.8742125058</v>
      </c>
      <c r="AW96" s="376">
        <f t="shared" si="359"/>
        <v>9961054.7127250377</v>
      </c>
    </row>
    <row r="97" spans="4:49" ht="15" x14ac:dyDescent="0.25">
      <c r="D97" s="43"/>
      <c r="E97" s="43"/>
      <c r="F97"/>
      <c r="G97"/>
      <c r="H97" s="52">
        <f>H95-H96</f>
        <v>-12</v>
      </c>
      <c r="K97" s="598" t="str">
        <f>+'Retail Rates'!$B$26</f>
        <v>LGING855</v>
      </c>
      <c r="L97" s="599">
        <f>SUMIF($E$7:$E$89,$K97,$I$7:$I$89)+SUMIF($E$7:$E$89,$K97,$J$7:$J$89)</f>
        <v>3138</v>
      </c>
      <c r="M97" s="599">
        <f>SUM('Fin Forecast'!K157:V157)+SUM('Fin Forecast'!K492:V492)</f>
        <v>3138</v>
      </c>
      <c r="N97" s="52">
        <f t="shared" si="357"/>
        <v>0</v>
      </c>
      <c r="O97" s="296">
        <f>N97/12</f>
        <v>0</v>
      </c>
      <c r="P97"/>
      <c r="Q97"/>
      <c r="R97"/>
      <c r="S97"/>
      <c r="T97"/>
      <c r="U97"/>
      <c r="AT97" s="361" t="str">
        <f>+'Retail Rates'!$B$20</f>
        <v>LGCMG875</v>
      </c>
      <c r="AU97" s="376">
        <f t="shared" si="360"/>
        <v>29.58996422013707</v>
      </c>
      <c r="AV97" s="376">
        <f t="shared" si="358"/>
        <v>1.3341336732703244</v>
      </c>
      <c r="AW97" s="376">
        <f t="shared" si="359"/>
        <v>0</v>
      </c>
    </row>
    <row r="98" spans="4:49" ht="15" x14ac:dyDescent="0.25">
      <c r="D98" s="43"/>
      <c r="E98" s="43"/>
      <c r="G98" s="596" t="s">
        <v>625</v>
      </c>
      <c r="H98" s="594">
        <v>12</v>
      </c>
      <c r="K98" s="598" t="str">
        <f>+'Retail Rates'!$B$31</f>
        <v>LGRSG811</v>
      </c>
      <c r="L98" s="599">
        <f>SUMIF($E$7:$E$89,$K98,$H$7:$H$89)</f>
        <v>3556511</v>
      </c>
      <c r="M98" s="599">
        <f>SUM('Fin Forecast'!K521:V521)</f>
        <v>3556511</v>
      </c>
      <c r="N98" s="52">
        <f t="shared" si="357"/>
        <v>0</v>
      </c>
      <c r="O98" s="296">
        <f>N98/12</f>
        <v>0</v>
      </c>
      <c r="P98"/>
      <c r="Q98"/>
      <c r="R98"/>
      <c r="S98"/>
      <c r="T98"/>
      <c r="U98"/>
      <c r="AT98" s="361" t="str">
        <f>+'Retail Rates'!$B$26</f>
        <v>LGING855</v>
      </c>
      <c r="AU98" s="376">
        <f t="shared" si="360"/>
        <v>6139166.1253399272</v>
      </c>
      <c r="AV98" s="376">
        <f t="shared" si="358"/>
        <v>0</v>
      </c>
      <c r="AW98" s="376">
        <f t="shared" si="359"/>
        <v>905992.209367592</v>
      </c>
    </row>
    <row r="99" spans="4:49" ht="15" x14ac:dyDescent="0.25">
      <c r="D99" s="43"/>
      <c r="E99" s="43"/>
      <c r="H99" s="52">
        <f>H97+H98</f>
        <v>0</v>
      </c>
      <c r="L99" s="599"/>
      <c r="O99"/>
      <c r="P99"/>
      <c r="Q99"/>
      <c r="R99"/>
      <c r="S99"/>
      <c r="T99"/>
      <c r="U99"/>
      <c r="AT99" s="361" t="str">
        <f>+'Retail Rates'!$B$31</f>
        <v>LGRSG811</v>
      </c>
      <c r="AU99" s="376">
        <f t="shared" si="360"/>
        <v>84917418.250368789</v>
      </c>
      <c r="AV99" s="376">
        <f t="shared" si="358"/>
        <v>2013223.6865790721</v>
      </c>
      <c r="AW99" s="376">
        <f t="shared" si="359"/>
        <v>23222068.37169949</v>
      </c>
    </row>
    <row r="100" spans="4:49" ht="15" x14ac:dyDescent="0.25">
      <c r="D100" s="43"/>
      <c r="E100" s="43"/>
      <c r="K100" s="13" t="s">
        <v>206</v>
      </c>
      <c r="L100" s="52">
        <f>SUM(L93:L99)</f>
        <v>3859069</v>
      </c>
      <c r="M100" s="52">
        <f>SUM(M93:M99)</f>
        <v>3859069</v>
      </c>
      <c r="N100" s="52">
        <f>L100-M100</f>
        <v>0</v>
      </c>
      <c r="O100"/>
      <c r="P100"/>
      <c r="Q100"/>
      <c r="R100"/>
      <c r="S100"/>
      <c r="T100"/>
      <c r="U100"/>
    </row>
    <row r="101" spans="4:49" ht="15" x14ac:dyDescent="0.25">
      <c r="D101" s="43"/>
      <c r="E101" s="43"/>
      <c r="K101" s="13" t="s">
        <v>626</v>
      </c>
      <c r="L101" s="594">
        <f>H94</f>
        <v>3859069</v>
      </c>
      <c r="O101"/>
      <c r="P101"/>
      <c r="Q101"/>
      <c r="R101"/>
      <c r="S101"/>
      <c r="T101"/>
      <c r="U101"/>
      <c r="AT101" s="13" t="s">
        <v>206</v>
      </c>
      <c r="AU101" s="44">
        <f>SUM(AU94:AU100)</f>
        <v>135270880.39599562</v>
      </c>
      <c r="AV101" s="44">
        <f>SUM(AV94:AV100)</f>
        <v>3201787.4766642917</v>
      </c>
      <c r="AW101" s="44">
        <f>SUM(AW94:AW100)</f>
        <v>34283189.6996888</v>
      </c>
    </row>
    <row r="102" spans="4:49" ht="15" x14ac:dyDescent="0.25">
      <c r="D102" s="43"/>
      <c r="E102" s="43"/>
      <c r="L102" s="52">
        <f>L100-L101</f>
        <v>0</v>
      </c>
      <c r="P102"/>
      <c r="Q102"/>
      <c r="R102"/>
      <c r="S102"/>
      <c r="T102"/>
      <c r="U102"/>
      <c r="AT102" s="13" t="s">
        <v>641</v>
      </c>
      <c r="AU102" s="44">
        <f>AT90</f>
        <v>135270880.39599565</v>
      </c>
      <c r="AV102" s="44">
        <f>AU90</f>
        <v>3201787.4766642917</v>
      </c>
      <c r="AW102" s="44">
        <f>AW90</f>
        <v>34283189.699688807</v>
      </c>
    </row>
    <row r="103" spans="4:49" ht="15.75" thickBot="1" x14ac:dyDescent="0.3">
      <c r="D103" s="43"/>
      <c r="E103" s="43"/>
      <c r="AT103" s="13" t="s">
        <v>435</v>
      </c>
      <c r="AU103" s="44">
        <f>AU101-AU102</f>
        <v>0</v>
      </c>
      <c r="AV103" s="44">
        <f t="shared" ref="AV103:AW103" si="361">AV101-AV102</f>
        <v>0</v>
      </c>
      <c r="AW103" s="44">
        <f t="shared" si="361"/>
        <v>0</v>
      </c>
    </row>
    <row r="104" spans="4:49" ht="15" x14ac:dyDescent="0.25">
      <c r="D104" s="43"/>
      <c r="E104" s="43"/>
      <c r="G104" s="13" t="s">
        <v>631</v>
      </c>
      <c r="K104" s="615"/>
      <c r="L104" s="616" t="s">
        <v>695</v>
      </c>
      <c r="M104" s="617"/>
      <c r="N104" s="618"/>
    </row>
    <row r="105" spans="4:49" ht="15" x14ac:dyDescent="0.25">
      <c r="D105" s="43"/>
      <c r="E105" s="43"/>
      <c r="F105" s="13" t="s">
        <v>632</v>
      </c>
      <c r="G105" s="596" t="s">
        <v>636</v>
      </c>
      <c r="H105" s="599">
        <f>'Forecasted Calendar Month Usage'!X56</f>
        <v>31271467.224778861</v>
      </c>
      <c r="K105" s="619"/>
      <c r="L105" s="620" t="s">
        <v>697</v>
      </c>
      <c r="M105" s="621">
        <f>H106+'Jul17-Jun18 Transport'!F100</f>
        <v>44455552.946566716</v>
      </c>
      <c r="N105" s="622">
        <v>1</v>
      </c>
    </row>
    <row r="106" spans="4:49" ht="15" x14ac:dyDescent="0.25">
      <c r="D106" s="43"/>
      <c r="E106" s="43"/>
      <c r="G106" s="596" t="s">
        <v>630</v>
      </c>
      <c r="H106" s="594">
        <f>SUM(K7:L89)/10</f>
        <v>31271474.424778856</v>
      </c>
      <c r="K106" s="619"/>
      <c r="L106" s="620" t="s">
        <v>701</v>
      </c>
      <c r="M106" s="621">
        <f>'Jul17-Jun18 Transport'!F100-'Jul17-Jun18 Transport'!F102</f>
        <v>11638280.521787861</v>
      </c>
      <c r="N106" s="623">
        <f>M106/M105</f>
        <v>0.26179587813869898</v>
      </c>
    </row>
    <row r="107" spans="4:49" ht="15" x14ac:dyDescent="0.25">
      <c r="D107" s="43"/>
      <c r="E107" s="43"/>
      <c r="G107"/>
      <c r="H107" s="608">
        <f>H105-H106</f>
        <v>-7.1999999955296516</v>
      </c>
      <c r="K107" s="619"/>
      <c r="L107" s="620" t="s">
        <v>696</v>
      </c>
      <c r="M107" s="621">
        <f>SUM(K35:K68)/10</f>
        <v>23999039.987204701</v>
      </c>
      <c r="N107" s="624"/>
    </row>
    <row r="108" spans="4:49" ht="15" x14ac:dyDescent="0.25">
      <c r="D108" s="43"/>
      <c r="E108" s="43"/>
      <c r="G108" s="596" t="s">
        <v>638</v>
      </c>
      <c r="H108" s="604">
        <f>(6*12)/10</f>
        <v>7.2</v>
      </c>
      <c r="K108" s="619"/>
      <c r="L108" s="620" t="s">
        <v>698</v>
      </c>
      <c r="M108" s="621">
        <v>11561865</v>
      </c>
      <c r="N108" s="622">
        <f>M108/M107</f>
        <v>0.48176364580267839</v>
      </c>
    </row>
    <row r="109" spans="4:49" ht="15.75" thickBot="1" x14ac:dyDescent="0.3">
      <c r="D109" s="43"/>
      <c r="E109" s="43"/>
      <c r="G109"/>
      <c r="H109" s="609">
        <f>H107+H108</f>
        <v>4.4703485357899808E-9</v>
      </c>
      <c r="K109" s="625"/>
      <c r="L109" s="626" t="s">
        <v>699</v>
      </c>
      <c r="M109" s="375"/>
      <c r="N109" s="627"/>
    </row>
    <row r="110" spans="4:49" ht="15" x14ac:dyDescent="0.25">
      <c r="D110" s="43"/>
      <c r="E110" s="43"/>
    </row>
    <row r="111" spans="4:49" ht="15" x14ac:dyDescent="0.25">
      <c r="D111" s="250"/>
      <c r="E111" s="250"/>
      <c r="F111" s="597"/>
      <c r="G111" s="600" t="s">
        <v>514</v>
      </c>
      <c r="H111" s="600" t="s">
        <v>740</v>
      </c>
      <c r="I111" s="600" t="s">
        <v>213</v>
      </c>
    </row>
    <row r="112" spans="4:49" ht="15" x14ac:dyDescent="0.25">
      <c r="D112" s="43" t="s">
        <v>742</v>
      </c>
      <c r="E112" s="50">
        <v>811</v>
      </c>
      <c r="F112" s="804">
        <v>42917</v>
      </c>
      <c r="G112" s="599">
        <f>SUMIFS($H$7:$H$89,$F$7:$F$89,$E112,$D$7:$D$89,$F112)</f>
        <v>295585</v>
      </c>
      <c r="H112" s="599">
        <f>SUMIFS($K$7:$K$89,$F$7:$F$89,$E112,$D$7:$D$89,$F112)</f>
        <v>3313799.2126692669</v>
      </c>
      <c r="I112" s="52">
        <f>H112/10</f>
        <v>331379.92126692669</v>
      </c>
    </row>
    <row r="113" spans="4:9" ht="15" x14ac:dyDescent="0.25">
      <c r="D113" s="43"/>
      <c r="E113" s="50">
        <v>811</v>
      </c>
      <c r="F113" s="804">
        <v>42948</v>
      </c>
      <c r="G113" s="599">
        <f t="shared" ref="G113:G117" si="362">SUMIFS($H$7:$H$89,$F$7:$F$89,$E113,$D$7:$D$89,$F113)</f>
        <v>295508</v>
      </c>
      <c r="H113" s="599">
        <f t="shared" ref="H113:H117" si="363">SUMIFS($K$7:$K$89,$F$7:$F$89,$E113,$D$7:$D$89,$F113)</f>
        <v>3255728.0696375966</v>
      </c>
      <c r="I113" s="52">
        <f t="shared" ref="I113:I117" si="364">H113/10</f>
        <v>325572.80696375965</v>
      </c>
    </row>
    <row r="114" spans="4:9" ht="15" x14ac:dyDescent="0.25">
      <c r="D114" s="43"/>
      <c r="E114" s="50">
        <v>811</v>
      </c>
      <c r="F114" s="804">
        <v>42979</v>
      </c>
      <c r="G114" s="599">
        <f t="shared" si="362"/>
        <v>295117</v>
      </c>
      <c r="H114" s="599">
        <f t="shared" si="363"/>
        <v>3579065.1165623795</v>
      </c>
      <c r="I114" s="52">
        <f t="shared" si="364"/>
        <v>357906.51165623794</v>
      </c>
    </row>
    <row r="115" spans="4:9" ht="15" x14ac:dyDescent="0.25">
      <c r="D115" s="43"/>
      <c r="E115" s="50">
        <v>811</v>
      </c>
      <c r="F115" s="804">
        <v>43009</v>
      </c>
      <c r="G115" s="599">
        <f t="shared" si="362"/>
        <v>295420</v>
      </c>
      <c r="H115" s="599">
        <f t="shared" si="363"/>
        <v>6990667.5763024837</v>
      </c>
      <c r="I115" s="52">
        <f t="shared" si="364"/>
        <v>699066.75763024832</v>
      </c>
    </row>
    <row r="116" spans="4:9" ht="15" x14ac:dyDescent="0.25">
      <c r="D116" s="43"/>
      <c r="E116" s="50">
        <v>811</v>
      </c>
      <c r="F116" s="804">
        <v>43040</v>
      </c>
      <c r="G116" s="599">
        <f t="shared" si="362"/>
        <v>295562</v>
      </c>
      <c r="H116" s="599">
        <f t="shared" si="363"/>
        <v>18199080.548454396</v>
      </c>
      <c r="I116" s="52">
        <f t="shared" si="364"/>
        <v>1819908.0548454397</v>
      </c>
    </row>
    <row r="117" spans="4:9" ht="15" x14ac:dyDescent="0.25">
      <c r="D117" s="43"/>
      <c r="E117" s="600">
        <v>811</v>
      </c>
      <c r="F117" s="805">
        <v>43070</v>
      </c>
      <c r="G117" s="806">
        <f t="shared" si="362"/>
        <v>296650</v>
      </c>
      <c r="H117" s="806">
        <f t="shared" si="363"/>
        <v>33832048.675337806</v>
      </c>
      <c r="I117" s="594">
        <f t="shared" si="364"/>
        <v>3383204.8675337806</v>
      </c>
    </row>
    <row r="118" spans="4:9" ht="15" x14ac:dyDescent="0.25">
      <c r="D118" s="43"/>
      <c r="E118" s="43"/>
      <c r="F118" s="596" t="s">
        <v>741</v>
      </c>
      <c r="G118" s="52">
        <f>SUM(G112:G117)</f>
        <v>1773842</v>
      </c>
      <c r="H118" s="52">
        <f>SUM(H112:H117)</f>
        <v>69170389.198963925</v>
      </c>
      <c r="I118" s="52">
        <f>SUM(I112:I117)</f>
        <v>6917038.9198963931</v>
      </c>
    </row>
    <row r="119" spans="4:9" ht="15" x14ac:dyDescent="0.25">
      <c r="D119" s="43"/>
    </row>
    <row r="120" spans="4:9" ht="15" x14ac:dyDescent="0.25">
      <c r="D120" s="43" t="s">
        <v>743</v>
      </c>
      <c r="E120" s="43">
        <v>851</v>
      </c>
      <c r="F120" s="804">
        <v>42917</v>
      </c>
      <c r="G120" s="599">
        <f>SUMIFS($I$7:$I$89,$F$7:$F$89,$E120,$D$7:$D$89,$F120)+SUMIFS($J$7:$J$89,$F$7:$F$89,$E120,$D$7:$D$89,$F120)</f>
        <v>24665</v>
      </c>
      <c r="H120" s="599">
        <f>SUMIFS($K$7:$K$89,$F$7:$F$89,$E120,$D$7:$D$89,$F120)+SUMIFS($L$7:$L$89,$F$7:$F$89,$E120,$D$7:$D$89,$F120)</f>
        <v>2744078.3378030173</v>
      </c>
      <c r="I120" s="52">
        <f>H120/10</f>
        <v>274407.83378030173</v>
      </c>
    </row>
    <row r="121" spans="4:9" ht="15" x14ac:dyDescent="0.25">
      <c r="D121" s="43"/>
      <c r="E121" s="637">
        <v>851</v>
      </c>
      <c r="F121" s="804">
        <v>42948</v>
      </c>
      <c r="G121" s="599">
        <f t="shared" ref="G121:G125" si="365">SUMIFS($I$7:$I$89,$F$7:$F$89,$E121,$D$7:$D$89,$F121)+SUMIFS($J$7:$J$89,$F$7:$F$89,$E121,$D$7:$D$89,$F121)</f>
        <v>24681</v>
      </c>
      <c r="H121" s="599">
        <f t="shared" ref="H121:H125" si="366">SUMIFS($K$7:$K$89,$F$7:$F$89,$E121,$D$7:$D$89,$F121)+SUMIFS($L$7:$L$89,$F$7:$F$89,$E121,$D$7:$D$89,$F121)</f>
        <v>2920821.4061164632</v>
      </c>
      <c r="I121" s="52">
        <f t="shared" ref="I121:I125" si="367">H121/10</f>
        <v>292082.14061164635</v>
      </c>
    </row>
    <row r="122" spans="4:9" ht="15" x14ac:dyDescent="0.25">
      <c r="D122" s="43"/>
      <c r="E122" s="637">
        <v>851</v>
      </c>
      <c r="F122" s="804">
        <v>42979</v>
      </c>
      <c r="G122" s="599">
        <f t="shared" si="365"/>
        <v>24691</v>
      </c>
      <c r="H122" s="599">
        <f t="shared" si="366"/>
        <v>3052894.5140968896</v>
      </c>
      <c r="I122" s="52">
        <f t="shared" si="367"/>
        <v>305289.45140968898</v>
      </c>
    </row>
    <row r="123" spans="4:9" ht="15" x14ac:dyDescent="0.25">
      <c r="D123" s="43"/>
      <c r="E123" s="637">
        <v>851</v>
      </c>
      <c r="F123" s="804">
        <v>43009</v>
      </c>
      <c r="G123" s="599">
        <f t="shared" si="365"/>
        <v>24765</v>
      </c>
      <c r="H123" s="599">
        <f t="shared" si="366"/>
        <v>4756316.5851774598</v>
      </c>
      <c r="I123" s="52">
        <f t="shared" si="367"/>
        <v>475631.65851774596</v>
      </c>
    </row>
    <row r="124" spans="4:9" ht="15" x14ac:dyDescent="0.25">
      <c r="D124" s="43"/>
      <c r="E124" s="637">
        <v>851</v>
      </c>
      <c r="F124" s="804">
        <v>43040</v>
      </c>
      <c r="G124" s="599">
        <f t="shared" si="365"/>
        <v>24954</v>
      </c>
      <c r="H124" s="599">
        <f t="shared" si="366"/>
        <v>8560468.2801400796</v>
      </c>
      <c r="I124" s="52">
        <f t="shared" si="367"/>
        <v>856046.828014008</v>
      </c>
    </row>
    <row r="125" spans="4:9" ht="15" x14ac:dyDescent="0.25">
      <c r="D125" s="43"/>
      <c r="E125" s="250">
        <v>851</v>
      </c>
      <c r="F125" s="805">
        <v>43070</v>
      </c>
      <c r="G125" s="806">
        <f t="shared" si="365"/>
        <v>25149</v>
      </c>
      <c r="H125" s="806">
        <f t="shared" si="366"/>
        <v>15695402.03860089</v>
      </c>
      <c r="I125" s="594">
        <f t="shared" si="367"/>
        <v>1569540.203860089</v>
      </c>
    </row>
    <row r="126" spans="4:9" ht="15" x14ac:dyDescent="0.25">
      <c r="D126" s="43"/>
      <c r="E126" s="43"/>
      <c r="G126" s="52">
        <f>SUM(G120:G125)</f>
        <v>148905</v>
      </c>
      <c r="H126" s="52">
        <f t="shared" ref="H126:I126" si="368">SUM(H120:H125)</f>
        <v>37729981.1619348</v>
      </c>
      <c r="I126" s="52">
        <f t="shared" si="368"/>
        <v>3772998.1161934799</v>
      </c>
    </row>
    <row r="127" spans="4:9" ht="15" x14ac:dyDescent="0.25">
      <c r="D127" s="43"/>
      <c r="E127" s="43"/>
    </row>
    <row r="128" spans="4:9" ht="15" x14ac:dyDescent="0.25">
      <c r="D128" s="288" t="s">
        <v>111</v>
      </c>
      <c r="E128" s="43">
        <v>855</v>
      </c>
      <c r="F128" s="804">
        <v>42917</v>
      </c>
      <c r="G128" s="599">
        <f>SUMIFS($I$7:$I$89,$F$7:$F$89,$E128,$D$7:$D$89,$F128)+SUMIFS($J$7:$J$89,$F$7:$F$89,$E128,$D$7:$D$89,$F128)</f>
        <v>258</v>
      </c>
      <c r="H128" s="599">
        <f>SUMIFS($K$7:$K$89,$F$7:$F$89,$E128,$D$7:$D$89,$F128)+SUMIFS($L$7:$L$89,$F$7:$F$89,$E128,$D$7:$D$89,$F128)</f>
        <v>803101.80473801948</v>
      </c>
      <c r="I128" s="52">
        <f t="shared" ref="I128:I133" si="369">H128/10</f>
        <v>80310.180473801942</v>
      </c>
    </row>
    <row r="129" spans="4:14" ht="15" x14ac:dyDescent="0.25">
      <c r="D129" s="43"/>
      <c r="E129" s="637">
        <v>855</v>
      </c>
      <c r="F129" s="804">
        <v>42948</v>
      </c>
      <c r="G129" s="599">
        <f t="shared" ref="G129:G133" si="370">SUMIFS($I$7:$I$89,$F$7:$F$89,$E129,$D$7:$D$89,$F129)+SUMIFS($J$7:$J$89,$F$7:$F$89,$E129,$D$7:$D$89,$F129)</f>
        <v>260</v>
      </c>
      <c r="H129" s="599">
        <f t="shared" ref="H129:H133" si="371">SUMIFS($K$7:$K$89,$F$7:$F$89,$E129,$D$7:$D$89,$F129)+SUMIFS($L$7:$L$89,$F$7:$F$89,$E129,$D$7:$D$89,$F129)</f>
        <v>870971.38292480446</v>
      </c>
      <c r="I129" s="52">
        <f t="shared" si="369"/>
        <v>87097.138292480449</v>
      </c>
    </row>
    <row r="130" spans="4:14" ht="15" x14ac:dyDescent="0.25">
      <c r="D130" s="43"/>
      <c r="E130" s="637">
        <v>855</v>
      </c>
      <c r="F130" s="804">
        <v>42979</v>
      </c>
      <c r="G130" s="599">
        <f t="shared" si="370"/>
        <v>260</v>
      </c>
      <c r="H130" s="599">
        <f t="shared" si="371"/>
        <v>883706.33592162456</v>
      </c>
      <c r="I130" s="52">
        <f t="shared" si="369"/>
        <v>88370.633592162456</v>
      </c>
    </row>
    <row r="131" spans="4:14" ht="15" x14ac:dyDescent="0.25">
      <c r="D131" s="43"/>
      <c r="E131" s="637">
        <v>855</v>
      </c>
      <c r="F131" s="804">
        <v>43009</v>
      </c>
      <c r="G131" s="599">
        <f t="shared" si="370"/>
        <v>260</v>
      </c>
      <c r="H131" s="599">
        <f t="shared" si="371"/>
        <v>1337839.2406384719</v>
      </c>
      <c r="I131" s="52">
        <f t="shared" si="369"/>
        <v>133783.9240638472</v>
      </c>
    </row>
    <row r="132" spans="4:14" ht="15" x14ac:dyDescent="0.25">
      <c r="D132" s="43"/>
      <c r="E132" s="637">
        <v>855</v>
      </c>
      <c r="F132" s="804">
        <v>43040</v>
      </c>
      <c r="G132" s="599">
        <f t="shared" si="370"/>
        <v>260</v>
      </c>
      <c r="H132" s="599">
        <f t="shared" si="371"/>
        <v>1523589.002778627</v>
      </c>
      <c r="I132" s="52">
        <f t="shared" si="369"/>
        <v>152358.9002778627</v>
      </c>
    </row>
    <row r="133" spans="4:14" ht="15" x14ac:dyDescent="0.25">
      <c r="D133" s="43"/>
      <c r="E133" s="250">
        <v>855</v>
      </c>
      <c r="F133" s="805">
        <v>43070</v>
      </c>
      <c r="G133" s="806">
        <f t="shared" si="370"/>
        <v>262</v>
      </c>
      <c r="H133" s="806">
        <f t="shared" si="371"/>
        <v>1837091.5432621257</v>
      </c>
      <c r="I133" s="594">
        <f t="shared" si="369"/>
        <v>183709.15432621256</v>
      </c>
      <c r="K133" s="50"/>
      <c r="L133" s="600"/>
      <c r="M133" s="810" t="s">
        <v>744</v>
      </c>
      <c r="N133" s="600" t="s">
        <v>213</v>
      </c>
    </row>
    <row r="134" spans="4:14" ht="15" x14ac:dyDescent="0.25">
      <c r="D134" s="43"/>
      <c r="E134" s="43"/>
      <c r="G134" s="52">
        <f>SUM(G128:G133)</f>
        <v>1560</v>
      </c>
      <c r="H134" s="52">
        <f t="shared" ref="H134:I134" si="372">SUM(H128:H133)</f>
        <v>7256299.3102636738</v>
      </c>
      <c r="I134" s="52">
        <f t="shared" si="372"/>
        <v>725629.93102636735</v>
      </c>
      <c r="K134" s="52"/>
      <c r="L134" s="52" t="s">
        <v>111</v>
      </c>
      <c r="M134" s="811">
        <f>G134</f>
        <v>1560</v>
      </c>
      <c r="N134" s="52">
        <f>I134</f>
        <v>725629.93102636735</v>
      </c>
    </row>
    <row r="135" spans="4:14" ht="15" x14ac:dyDescent="0.25">
      <c r="D135" s="637"/>
      <c r="E135" s="637"/>
      <c r="G135" s="52"/>
      <c r="H135" s="52"/>
      <c r="I135" s="52"/>
      <c r="K135" s="52"/>
      <c r="L135" s="52" t="s">
        <v>745</v>
      </c>
      <c r="M135" s="811">
        <f>G142</f>
        <v>30</v>
      </c>
      <c r="N135" s="52">
        <f>I142</f>
        <v>312135.33306481224</v>
      </c>
    </row>
    <row r="136" spans="4:14" ht="15" x14ac:dyDescent="0.25">
      <c r="D136" s="637" t="s">
        <v>483</v>
      </c>
      <c r="E136" s="637">
        <v>882</v>
      </c>
      <c r="F136" s="804">
        <v>42917</v>
      </c>
      <c r="G136" s="599">
        <f>SUMIFS('Jul17-Jun18 Transport'!$J$7:$J$47,'Jul17-Jun18 Transport'!$F$7:$F$47,'Jul17-Jun18 Retail'!$E136,'Jul17-Jun18 Transport'!$D$7:$D$47,'Jul17-Jun18 Retail'!$F136)</f>
        <v>5</v>
      </c>
      <c r="H136" s="599">
        <f>SUMIFS('Jul17-Jun18 Transport'!$K$7:$K$47,'Jul17-Jun18 Transport'!$F$7:$F$47,'Jul17-Jun18 Retail'!$E136,'Jul17-Jun18 Transport'!$D$7:$D$47,'Jul17-Jun18 Retail'!$F136)+SUMIFS('Jul17-Jun18 Transport'!$L$7:$L$47,'Jul17-Jun18 Transport'!$F$7:$F$47,'Jul17-Jun18 Retail'!$E136,'Jul17-Jun18 Transport'!$D$7:$D$47,'Jul17-Jun18 Retail'!$F136)</f>
        <v>430621.29308951268</v>
      </c>
      <c r="I136" s="52">
        <f t="shared" ref="I136:I141" si="373">H136/10</f>
        <v>43062.129308951269</v>
      </c>
      <c r="K136" s="52"/>
      <c r="L136" s="52" t="s">
        <v>287</v>
      </c>
      <c r="M136" s="811">
        <f>G150</f>
        <v>24</v>
      </c>
      <c r="N136" s="52">
        <f>I150</f>
        <v>75656.133861730414</v>
      </c>
    </row>
    <row r="137" spans="4:14" ht="15" x14ac:dyDescent="0.25">
      <c r="D137" s="637"/>
      <c r="E137" s="637">
        <v>882</v>
      </c>
      <c r="F137" s="804">
        <v>42948</v>
      </c>
      <c r="G137" s="599">
        <f>SUMIFS('Jul17-Jun18 Transport'!$J$7:$J$47,'Jul17-Jun18 Transport'!$F$7:$F$47,'Jul17-Jun18 Retail'!$E137,'Jul17-Jun18 Transport'!$D$7:$D$47,'Jul17-Jun18 Retail'!$F137)</f>
        <v>5</v>
      </c>
      <c r="H137" s="599">
        <f>SUMIFS('Jul17-Jun18 Transport'!$K$7:$K$47,'Jul17-Jun18 Transport'!$F$7:$F$47,'Jul17-Jun18 Retail'!$E137,'Jul17-Jun18 Transport'!$D$7:$D$47,'Jul17-Jun18 Retail'!$F137)+SUMIFS('Jul17-Jun18 Transport'!$L$7:$L$47,'Jul17-Jun18 Transport'!$F$7:$F$47,'Jul17-Jun18 Retail'!$E137,'Jul17-Jun18 Transport'!$D$7:$D$47,'Jul17-Jun18 Retail'!$F137)</f>
        <v>338156.44158785528</v>
      </c>
      <c r="I137" s="52">
        <f t="shared" si="373"/>
        <v>33815.64415878553</v>
      </c>
      <c r="K137" s="52"/>
      <c r="L137" s="52" t="s">
        <v>490</v>
      </c>
      <c r="M137" s="811">
        <f>G158</f>
        <v>12</v>
      </c>
      <c r="N137" s="52">
        <f>I158</f>
        <v>171807.19150144263</v>
      </c>
    </row>
    <row r="138" spans="4:14" ht="15" x14ac:dyDescent="0.25">
      <c r="D138" s="637"/>
      <c r="E138" s="637">
        <v>882</v>
      </c>
      <c r="F138" s="804">
        <v>42979</v>
      </c>
      <c r="G138" s="599">
        <f>SUMIFS('Jul17-Jun18 Transport'!$J$7:$J$47,'Jul17-Jun18 Transport'!$F$7:$F$47,'Jul17-Jun18 Retail'!$E138,'Jul17-Jun18 Transport'!$D$7:$D$47,'Jul17-Jun18 Retail'!$F138)</f>
        <v>5</v>
      </c>
      <c r="H138" s="599">
        <f>SUMIFS('Jul17-Jun18 Transport'!$K$7:$K$47,'Jul17-Jun18 Transport'!$F$7:$F$47,'Jul17-Jun18 Retail'!$E138,'Jul17-Jun18 Transport'!$D$7:$D$47,'Jul17-Jun18 Retail'!$F138)+SUMIFS('Jul17-Jun18 Transport'!$L$7:$L$47,'Jul17-Jun18 Transport'!$F$7:$F$47,'Jul17-Jun18 Retail'!$E138,'Jul17-Jun18 Transport'!$D$7:$D$47,'Jul17-Jun18 Retail'!$F138)</f>
        <v>426408.51385407255</v>
      </c>
      <c r="I138" s="52">
        <f t="shared" si="373"/>
        <v>42640.851385407252</v>
      </c>
      <c r="K138" s="52"/>
      <c r="L138" s="594" t="s">
        <v>473</v>
      </c>
      <c r="M138" s="812">
        <f>G166</f>
        <v>6</v>
      </c>
      <c r="N138" s="594">
        <f>I166</f>
        <v>3.6</v>
      </c>
    </row>
    <row r="139" spans="4:14" ht="15" x14ac:dyDescent="0.25">
      <c r="D139" s="637"/>
      <c r="E139" s="637">
        <v>882</v>
      </c>
      <c r="F139" s="804">
        <v>43009</v>
      </c>
      <c r="G139" s="599">
        <f>SUMIFS('Jul17-Jun18 Transport'!$J$7:$J$47,'Jul17-Jun18 Transport'!$F$7:$F$47,'Jul17-Jun18 Retail'!$E139,'Jul17-Jun18 Transport'!$D$7:$D$47,'Jul17-Jun18 Retail'!$F139)</f>
        <v>5</v>
      </c>
      <c r="H139" s="599">
        <f>SUMIFS('Jul17-Jun18 Transport'!$K$7:$K$47,'Jul17-Jun18 Transport'!$F$7:$F$47,'Jul17-Jun18 Retail'!$E139,'Jul17-Jun18 Transport'!$D$7:$D$47,'Jul17-Jun18 Retail'!$F139)+SUMIFS('Jul17-Jun18 Transport'!$L$7:$L$47,'Jul17-Jun18 Transport'!$F$7:$F$47,'Jul17-Jun18 Retail'!$E139,'Jul17-Jun18 Transport'!$D$7:$D$47,'Jul17-Jun18 Retail'!$F139)</f>
        <v>676405.84847279731</v>
      </c>
      <c r="I139" s="52">
        <f t="shared" si="373"/>
        <v>67640.584847279737</v>
      </c>
      <c r="K139" s="52"/>
      <c r="L139" s="52" t="s">
        <v>746</v>
      </c>
      <c r="M139" s="813">
        <f>SUM(M134:M138)</f>
        <v>1632</v>
      </c>
      <c r="N139" s="52">
        <f>SUM(N134:N138)</f>
        <v>1285232.1894543527</v>
      </c>
    </row>
    <row r="140" spans="4:14" ht="15" x14ac:dyDescent="0.25">
      <c r="D140" s="637"/>
      <c r="E140" s="637">
        <v>882</v>
      </c>
      <c r="F140" s="804">
        <v>43040</v>
      </c>
      <c r="G140" s="599">
        <f>SUMIFS('Jul17-Jun18 Transport'!$J$7:$J$47,'Jul17-Jun18 Transport'!$F$7:$F$47,'Jul17-Jun18 Retail'!$E140,'Jul17-Jun18 Transport'!$D$7:$D$47,'Jul17-Jun18 Retail'!$F140)</f>
        <v>5</v>
      </c>
      <c r="H140" s="599">
        <f>SUMIFS('Jul17-Jun18 Transport'!$K$7:$K$47,'Jul17-Jun18 Transport'!$F$7:$F$47,'Jul17-Jun18 Retail'!$E140,'Jul17-Jun18 Transport'!$D$7:$D$47,'Jul17-Jun18 Retail'!$F140)+SUMIFS('Jul17-Jun18 Transport'!$L$7:$L$47,'Jul17-Jun18 Transport'!$F$7:$F$47,'Jul17-Jun18 Retail'!$E140,'Jul17-Jun18 Transport'!$D$7:$D$47,'Jul17-Jun18 Retail'!$F140)</f>
        <v>725832.3021834715</v>
      </c>
      <c r="I140" s="52">
        <f t="shared" si="373"/>
        <v>72583.230218347147</v>
      </c>
      <c r="K140" s="52"/>
    </row>
    <row r="141" spans="4:14" ht="15" x14ac:dyDescent="0.25">
      <c r="D141" s="637"/>
      <c r="E141" s="250">
        <v>882</v>
      </c>
      <c r="F141" s="805">
        <v>43070</v>
      </c>
      <c r="G141" s="806">
        <f>SUMIFS('Jul17-Jun18 Transport'!$J$7:$J$47,'Jul17-Jun18 Transport'!$F$7:$F$47,'Jul17-Jun18 Retail'!$E141,'Jul17-Jun18 Transport'!$D$7:$D$47,'Jul17-Jun18 Retail'!$F141)</f>
        <v>5</v>
      </c>
      <c r="H141" s="806">
        <f>SUMIFS('Jul17-Jun18 Transport'!$K$7:$K$47,'Jul17-Jun18 Transport'!$F$7:$F$47,'Jul17-Jun18 Retail'!$E141,'Jul17-Jun18 Transport'!$D$7:$D$47,'Jul17-Jun18 Retail'!$F141)+SUMIFS('Jul17-Jun18 Transport'!$L$7:$L$47,'Jul17-Jun18 Transport'!$F$7:$F$47,'Jul17-Jun18 Retail'!$E141,'Jul17-Jun18 Transport'!$D$7:$D$47,'Jul17-Jun18 Retail'!$F141)</f>
        <v>523928.93146041315</v>
      </c>
      <c r="I141" s="594">
        <f t="shared" si="373"/>
        <v>52392.893146041315</v>
      </c>
      <c r="K141" s="52"/>
      <c r="L141" s="52"/>
    </row>
    <row r="142" spans="4:14" ht="15" x14ac:dyDescent="0.25">
      <c r="D142" s="637"/>
      <c r="E142" s="637"/>
      <c r="G142" s="52">
        <f>SUM(G136:G141)</f>
        <v>30</v>
      </c>
      <c r="H142" s="52">
        <f t="shared" ref="H142:I142" si="374">SUM(H136:H141)</f>
        <v>3121353.3306481224</v>
      </c>
      <c r="I142" s="52">
        <f t="shared" si="374"/>
        <v>312135.33306481224</v>
      </c>
      <c r="K142" s="52"/>
      <c r="L142" s="52"/>
    </row>
    <row r="143" spans="4:14" ht="15" x14ac:dyDescent="0.25">
      <c r="D143" s="43"/>
      <c r="E143" s="43"/>
    </row>
    <row r="144" spans="4:14" ht="15" x14ac:dyDescent="0.25">
      <c r="D144" s="43" t="s">
        <v>287</v>
      </c>
      <c r="E144" s="43">
        <v>865</v>
      </c>
      <c r="F144" s="804">
        <v>42917</v>
      </c>
      <c r="G144" s="599">
        <f>SUMIFS($H$7:$H$89,$F$7:$F$89,$E144,$D$7:$D$89,$F144)</f>
        <v>4</v>
      </c>
      <c r="H144" s="599">
        <f>SUMIFS($K$7:$K$89,$F$7:$F$89,$E144,$D$7:$D$89,$F144)</f>
        <v>112128.02066129712</v>
      </c>
      <c r="I144" s="52">
        <f t="shared" ref="I144:I148" si="375">H144/10</f>
        <v>11212.802066129712</v>
      </c>
    </row>
    <row r="145" spans="4:9" ht="15" x14ac:dyDescent="0.25">
      <c r="D145" s="43"/>
      <c r="E145" s="637">
        <v>865</v>
      </c>
      <c r="F145" s="804">
        <v>42948</v>
      </c>
      <c r="G145" s="599">
        <f t="shared" ref="G145:G149" si="376">SUMIFS($H$7:$H$89,$F$7:$F$89,$E145,$D$7:$D$89,$F145)</f>
        <v>4</v>
      </c>
      <c r="H145" s="599">
        <f t="shared" ref="H145:H149" si="377">SUMIFS($K$7:$K$89,$F$7:$F$89,$E145,$D$7:$D$89,$F145)</f>
        <v>109968.78568188769</v>
      </c>
      <c r="I145" s="52">
        <f t="shared" si="375"/>
        <v>10996.878568188769</v>
      </c>
    </row>
    <row r="146" spans="4:9" ht="15" x14ac:dyDescent="0.25">
      <c r="D146" s="43"/>
      <c r="E146" s="637">
        <v>865</v>
      </c>
      <c r="F146" s="804">
        <v>42979</v>
      </c>
      <c r="G146" s="599">
        <f t="shared" si="376"/>
        <v>4</v>
      </c>
      <c r="H146" s="599">
        <f t="shared" si="377"/>
        <v>112336.35961047115</v>
      </c>
      <c r="I146" s="52">
        <f t="shared" si="375"/>
        <v>11233.635961047115</v>
      </c>
    </row>
    <row r="147" spans="4:9" ht="15" x14ac:dyDescent="0.25">
      <c r="D147" s="43"/>
      <c r="E147" s="637">
        <v>865</v>
      </c>
      <c r="F147" s="804">
        <v>43009</v>
      </c>
      <c r="G147" s="599">
        <f t="shared" si="376"/>
        <v>4</v>
      </c>
      <c r="H147" s="599">
        <f t="shared" si="377"/>
        <v>174143.63126225155</v>
      </c>
      <c r="I147" s="52">
        <f t="shared" si="375"/>
        <v>17414.363126225155</v>
      </c>
    </row>
    <row r="148" spans="4:9" ht="15" x14ac:dyDescent="0.25">
      <c r="D148" s="43"/>
      <c r="E148" s="637">
        <v>865</v>
      </c>
      <c r="F148" s="804">
        <v>43040</v>
      </c>
      <c r="G148" s="599">
        <f t="shared" si="376"/>
        <v>4</v>
      </c>
      <c r="H148" s="599">
        <f t="shared" si="377"/>
        <v>131011.31347314804</v>
      </c>
      <c r="I148" s="52">
        <f t="shared" si="375"/>
        <v>13101.131347314804</v>
      </c>
    </row>
    <row r="149" spans="4:9" ht="15" x14ac:dyDescent="0.25">
      <c r="D149" s="43"/>
      <c r="E149" s="250">
        <v>865</v>
      </c>
      <c r="F149" s="805">
        <v>43070</v>
      </c>
      <c r="G149" s="806">
        <f t="shared" si="376"/>
        <v>4</v>
      </c>
      <c r="H149" s="806">
        <f t="shared" si="377"/>
        <v>116973.22792824851</v>
      </c>
      <c r="I149" s="594">
        <f t="shared" ref="I149" si="378">H149/10</f>
        <v>11697.322792824851</v>
      </c>
    </row>
    <row r="150" spans="4:9" ht="15" x14ac:dyDescent="0.25">
      <c r="D150" s="637"/>
      <c r="E150" s="637"/>
      <c r="F150" s="807"/>
      <c r="G150" s="52">
        <f t="shared" ref="G150:H150" si="379">SUM(G144:G149)</f>
        <v>24</v>
      </c>
      <c r="H150" s="52">
        <f t="shared" si="379"/>
        <v>756561.33861730399</v>
      </c>
      <c r="I150" s="52">
        <f>SUM(I144:I149)</f>
        <v>75656.133861730414</v>
      </c>
    </row>
    <row r="151" spans="4:9" ht="15" x14ac:dyDescent="0.25">
      <c r="D151" s="43"/>
      <c r="E151" s="43"/>
    </row>
    <row r="152" spans="4:9" ht="15" x14ac:dyDescent="0.25">
      <c r="D152" s="43" t="s">
        <v>490</v>
      </c>
      <c r="E152" s="43">
        <v>892</v>
      </c>
      <c r="F152" s="804">
        <v>42917</v>
      </c>
      <c r="G152" s="599">
        <f>SUMIFS('Jul17-Jun18 Transport'!$H$7:$H$47,'Jul17-Jun18 Transport'!$F$7:$F$47,'Jul17-Jun18 Retail'!$E152,'Jul17-Jun18 Transport'!$D$7:$D$47,'Jul17-Jun18 Retail'!$F152)</f>
        <v>2</v>
      </c>
      <c r="H152" s="599">
        <f>SUMIFS('Jul17-Jun18 Transport'!$K$7:$K$47,'Jul17-Jun18 Transport'!$F$7:$F$47,'Jul17-Jun18 Retail'!$E152,'Jul17-Jun18 Transport'!$D$7:$D$47,'Jul17-Jun18 Retail'!$F152)</f>
        <v>132484.99890195444</v>
      </c>
      <c r="I152" s="599">
        <f>H152/10</f>
        <v>13248.499890195444</v>
      </c>
    </row>
    <row r="153" spans="4:9" ht="15" x14ac:dyDescent="0.25">
      <c r="D153" s="43"/>
      <c r="E153" s="637">
        <v>892</v>
      </c>
      <c r="F153" s="804">
        <v>42948</v>
      </c>
      <c r="G153" s="599">
        <f>SUMIFS('Jul17-Jun18 Transport'!$H$7:$H$47,'Jul17-Jun18 Transport'!$F$7:$F$47,'Jul17-Jun18 Retail'!$E153,'Jul17-Jun18 Transport'!$D$7:$D$47,'Jul17-Jun18 Retail'!$F153)</f>
        <v>2</v>
      </c>
      <c r="H153" s="599">
        <f>SUMIFS('Jul17-Jun18 Transport'!$K$7:$K$47,'Jul17-Jun18 Transport'!$F$7:$F$47,'Jul17-Jun18 Retail'!$E153,'Jul17-Jun18 Transport'!$D$7:$D$47,'Jul17-Jun18 Retail'!$F153)</f>
        <v>33993.552088602359</v>
      </c>
      <c r="I153" s="599">
        <f t="shared" ref="I153:I157" si="380">H153/10</f>
        <v>3399.355208860236</v>
      </c>
    </row>
    <row r="154" spans="4:9" ht="15" x14ac:dyDescent="0.25">
      <c r="D154" s="43"/>
      <c r="E154" s="637">
        <v>892</v>
      </c>
      <c r="F154" s="804">
        <v>42979</v>
      </c>
      <c r="G154" s="599">
        <f>SUMIFS('Jul17-Jun18 Transport'!$H$7:$H$47,'Jul17-Jun18 Transport'!$F$7:$F$47,'Jul17-Jun18 Retail'!$E154,'Jul17-Jun18 Transport'!$D$7:$D$47,'Jul17-Jun18 Retail'!$F154)</f>
        <v>2</v>
      </c>
      <c r="H154" s="599">
        <f>SUMIFS('Jul17-Jun18 Transport'!$K$7:$K$47,'Jul17-Jun18 Transport'!$F$7:$F$47,'Jul17-Jun18 Retail'!$E154,'Jul17-Jun18 Transport'!$D$7:$D$47,'Jul17-Jun18 Retail'!$F154)</f>
        <v>242930.27842465299</v>
      </c>
      <c r="I154" s="599">
        <f t="shared" si="380"/>
        <v>24293.027842465301</v>
      </c>
    </row>
    <row r="155" spans="4:9" ht="15" x14ac:dyDescent="0.25">
      <c r="D155" s="43"/>
      <c r="E155" s="637">
        <v>892</v>
      </c>
      <c r="F155" s="804">
        <v>43009</v>
      </c>
      <c r="G155" s="599">
        <f>SUMIFS('Jul17-Jun18 Transport'!$H$7:$H$47,'Jul17-Jun18 Transport'!$F$7:$F$47,'Jul17-Jun18 Retail'!$E155,'Jul17-Jun18 Transport'!$D$7:$D$47,'Jul17-Jun18 Retail'!$F155)</f>
        <v>2</v>
      </c>
      <c r="H155" s="599">
        <f>SUMIFS('Jul17-Jun18 Transport'!$K$7:$K$47,'Jul17-Jun18 Transport'!$F$7:$F$47,'Jul17-Jun18 Retail'!$E155,'Jul17-Jun18 Transport'!$D$7:$D$47,'Jul17-Jun18 Retail'!$F155)</f>
        <v>439368.46015835757</v>
      </c>
      <c r="I155" s="599">
        <f t="shared" si="380"/>
        <v>43936.846015835756</v>
      </c>
    </row>
    <row r="156" spans="4:9" ht="15" x14ac:dyDescent="0.25">
      <c r="D156" s="43"/>
      <c r="E156" s="637">
        <v>892</v>
      </c>
      <c r="F156" s="804">
        <v>43040</v>
      </c>
      <c r="G156" s="599">
        <f>SUMIFS('Jul17-Jun18 Transport'!$H$7:$H$47,'Jul17-Jun18 Transport'!$F$7:$F$47,'Jul17-Jun18 Retail'!$E156,'Jul17-Jun18 Transport'!$D$7:$D$47,'Jul17-Jun18 Retail'!$F156)</f>
        <v>2</v>
      </c>
      <c r="H156" s="599">
        <f>SUMIFS('Jul17-Jun18 Transport'!$K$7:$K$47,'Jul17-Jun18 Transport'!$F$7:$F$47,'Jul17-Jun18 Retail'!$E156,'Jul17-Jun18 Transport'!$D$7:$D$47,'Jul17-Jun18 Retail'!$F156)</f>
        <v>503930.77664057061</v>
      </c>
      <c r="I156" s="599">
        <f t="shared" si="380"/>
        <v>50393.077664057062</v>
      </c>
    </row>
    <row r="157" spans="4:9" ht="15" x14ac:dyDescent="0.25">
      <c r="D157" s="43"/>
      <c r="E157" s="250">
        <v>892</v>
      </c>
      <c r="F157" s="805">
        <v>43070</v>
      </c>
      <c r="G157" s="806">
        <f>SUMIFS('Jul17-Jun18 Transport'!$H$7:$H$47,'Jul17-Jun18 Transport'!$F$7:$F$47,'Jul17-Jun18 Retail'!$E157,'Jul17-Jun18 Transport'!$D$7:$D$47,'Jul17-Jun18 Retail'!$F157)</f>
        <v>2</v>
      </c>
      <c r="H157" s="806">
        <f>SUMIFS('Jul17-Jun18 Transport'!$K$7:$K$47,'Jul17-Jun18 Transport'!$F$7:$F$47,'Jul17-Jun18 Retail'!$E157,'Jul17-Jun18 Transport'!$D$7:$D$47,'Jul17-Jun18 Retail'!$F157)</f>
        <v>365363.84880028828</v>
      </c>
      <c r="I157" s="806">
        <f t="shared" si="380"/>
        <v>36536.384880028825</v>
      </c>
    </row>
    <row r="158" spans="4:9" ht="15" x14ac:dyDescent="0.25">
      <c r="D158" s="43"/>
      <c r="E158" s="43"/>
      <c r="G158" s="52">
        <f>SUM(G152:G157)</f>
        <v>12</v>
      </c>
      <c r="H158" s="52">
        <f t="shared" ref="H158:I158" si="381">SUM(H152:H157)</f>
        <v>1718071.9150144265</v>
      </c>
      <c r="I158" s="52">
        <f t="shared" si="381"/>
        <v>171807.19150144263</v>
      </c>
    </row>
    <row r="159" spans="4:9" ht="15" x14ac:dyDescent="0.25">
      <c r="D159" s="43"/>
      <c r="E159" s="43"/>
    </row>
    <row r="160" spans="4:9" ht="15" x14ac:dyDescent="0.25">
      <c r="D160" s="43" t="s">
        <v>473</v>
      </c>
      <c r="E160" s="43">
        <v>875</v>
      </c>
      <c r="F160" s="804">
        <v>42917</v>
      </c>
      <c r="G160" s="599">
        <f t="shared" ref="G160:G165" si="382">SUMIFS($H$7:$H$89,$F$7:$F$89,$E160,$D$7:$D$89,$F160)</f>
        <v>1</v>
      </c>
      <c r="H160" s="599">
        <f t="shared" ref="H160:H165" si="383">SUMIFS($K$7:$K$89,$F$7:$F$89,$E160,$D$7:$D$89,$F160)</f>
        <v>6</v>
      </c>
      <c r="I160" s="808">
        <f>H160/10</f>
        <v>0.6</v>
      </c>
    </row>
    <row r="161" spans="4:9" ht="15" x14ac:dyDescent="0.25">
      <c r="D161" s="43"/>
      <c r="E161" s="637">
        <v>875</v>
      </c>
      <c r="F161" s="804">
        <v>42948</v>
      </c>
      <c r="G161" s="599">
        <f t="shared" si="382"/>
        <v>1</v>
      </c>
      <c r="H161" s="599">
        <f t="shared" si="383"/>
        <v>6</v>
      </c>
      <c r="I161" s="808">
        <f t="shared" ref="I161:I165" si="384">H161/10</f>
        <v>0.6</v>
      </c>
    </row>
    <row r="162" spans="4:9" ht="15" x14ac:dyDescent="0.25">
      <c r="D162" s="43"/>
      <c r="E162" s="637">
        <v>875</v>
      </c>
      <c r="F162" s="804">
        <v>42979</v>
      </c>
      <c r="G162" s="599">
        <f t="shared" si="382"/>
        <v>1</v>
      </c>
      <c r="H162" s="599">
        <f t="shared" si="383"/>
        <v>6</v>
      </c>
      <c r="I162" s="808">
        <f t="shared" si="384"/>
        <v>0.6</v>
      </c>
    </row>
    <row r="163" spans="4:9" ht="15" x14ac:dyDescent="0.25">
      <c r="D163" s="43"/>
      <c r="E163" s="637">
        <v>875</v>
      </c>
      <c r="F163" s="804">
        <v>43009</v>
      </c>
      <c r="G163" s="599">
        <f t="shared" si="382"/>
        <v>1</v>
      </c>
      <c r="H163" s="599">
        <f t="shared" si="383"/>
        <v>6</v>
      </c>
      <c r="I163" s="808">
        <f t="shared" si="384"/>
        <v>0.6</v>
      </c>
    </row>
    <row r="164" spans="4:9" ht="15" x14ac:dyDescent="0.25">
      <c r="D164" s="43"/>
      <c r="E164" s="637">
        <v>875</v>
      </c>
      <c r="F164" s="804">
        <v>43040</v>
      </c>
      <c r="G164" s="599">
        <f t="shared" si="382"/>
        <v>1</v>
      </c>
      <c r="H164" s="599">
        <f t="shared" si="383"/>
        <v>6</v>
      </c>
      <c r="I164" s="808">
        <f t="shared" si="384"/>
        <v>0.6</v>
      </c>
    </row>
    <row r="165" spans="4:9" ht="15" x14ac:dyDescent="0.25">
      <c r="D165" s="43"/>
      <c r="E165" s="250">
        <v>875</v>
      </c>
      <c r="F165" s="805">
        <v>43070</v>
      </c>
      <c r="G165" s="806">
        <f t="shared" si="382"/>
        <v>1</v>
      </c>
      <c r="H165" s="806">
        <f t="shared" si="383"/>
        <v>6</v>
      </c>
      <c r="I165" s="809">
        <f t="shared" si="384"/>
        <v>0.6</v>
      </c>
    </row>
    <row r="166" spans="4:9" ht="15" x14ac:dyDescent="0.25">
      <c r="D166" s="43"/>
      <c r="E166" s="43"/>
      <c r="G166" s="52">
        <f>SUM(G160:G165)</f>
        <v>6</v>
      </c>
      <c r="H166" s="52">
        <f t="shared" ref="H166:I166" si="385">SUM(H160:H165)</f>
        <v>36</v>
      </c>
      <c r="I166" s="52">
        <f t="shared" si="385"/>
        <v>3.6</v>
      </c>
    </row>
    <row r="167" spans="4:9" ht="15" x14ac:dyDescent="0.25">
      <c r="D167" s="43"/>
      <c r="E167" s="43"/>
    </row>
    <row r="168" spans="4:9" ht="15" x14ac:dyDescent="0.25">
      <c r="D168" s="43" t="s">
        <v>40</v>
      </c>
      <c r="E168" s="637">
        <v>895</v>
      </c>
      <c r="F168" s="804">
        <v>42917</v>
      </c>
      <c r="G168" s="13">
        <f>SUMIFS('Jul17-Jun18 Transport'!$H$7:$H$47,'Jul17-Jun18 Transport'!$F$7:$F$47,'Jul17-Jun18 Retail'!$E168,'Jul17-Jun18 Transport'!$D$7:$D$47,'Jul17-Jun18 Retail'!$F168)</f>
        <v>73</v>
      </c>
      <c r="H168" s="599">
        <f>SUMIFS('Jul17-Jun18 Transport'!$K$7:$K$47,'Jul17-Jun18 Transport'!$F$7:$F$47,'Jul17-Jun18 Retail'!$E168,'Jul17-Jun18 Transport'!$D$7:$D$47,'Jul17-Jun18 Retail'!$F168)</f>
        <v>6939298.0831465786</v>
      </c>
      <c r="I168" s="52">
        <f>H168/10</f>
        <v>693929.80831465789</v>
      </c>
    </row>
    <row r="169" spans="4:9" ht="15" x14ac:dyDescent="0.25">
      <c r="D169" s="43"/>
      <c r="E169" s="43">
        <v>895</v>
      </c>
      <c r="F169" s="804">
        <v>42948</v>
      </c>
      <c r="G169" s="13">
        <f>SUMIFS('Jul17-Jun18 Transport'!$H$7:$H$47,'Jul17-Jun18 Transport'!$F$7:$F$47,'Jul17-Jun18 Retail'!$E169,'Jul17-Jun18 Transport'!$D$7:$D$47,'Jul17-Jun18 Retail'!$F169)</f>
        <v>73</v>
      </c>
      <c r="H169" s="599">
        <f>SUMIFS('Jul17-Jun18 Transport'!$K$7:$K$47,'Jul17-Jun18 Transport'!$F$7:$F$47,'Jul17-Jun18 Retail'!$E169,'Jul17-Jun18 Transport'!$D$7:$D$47,'Jul17-Jun18 Retail'!$F169)</f>
        <v>7549854.0375137134</v>
      </c>
      <c r="I169" s="52">
        <f t="shared" ref="I169:I173" si="386">H169/10</f>
        <v>754985.40375137131</v>
      </c>
    </row>
    <row r="170" spans="4:9" ht="15" x14ac:dyDescent="0.25">
      <c r="D170" s="43"/>
      <c r="E170" s="637">
        <v>895</v>
      </c>
      <c r="F170" s="804">
        <v>42979</v>
      </c>
      <c r="G170" s="13">
        <f>SUMIFS('Jul17-Jun18 Transport'!$H$7:$H$47,'Jul17-Jun18 Transport'!$F$7:$F$47,'Jul17-Jun18 Retail'!$E170,'Jul17-Jun18 Transport'!$D$7:$D$47,'Jul17-Jun18 Retail'!$F170)</f>
        <v>73</v>
      </c>
      <c r="H170" s="599">
        <f>SUMIFS('Jul17-Jun18 Transport'!$K$7:$K$47,'Jul17-Jun18 Transport'!$F$7:$F$47,'Jul17-Jun18 Retail'!$E170,'Jul17-Jun18 Transport'!$D$7:$D$47,'Jul17-Jun18 Retail'!$F170)</f>
        <v>7660886.1745606512</v>
      </c>
      <c r="I170" s="52">
        <f t="shared" si="386"/>
        <v>766088.61745606514</v>
      </c>
    </row>
    <row r="171" spans="4:9" ht="15" x14ac:dyDescent="0.25">
      <c r="D171" s="43"/>
      <c r="E171" s="637">
        <v>895</v>
      </c>
      <c r="F171" s="804">
        <v>43009</v>
      </c>
      <c r="G171" s="13">
        <f>SUMIFS('Jul17-Jun18 Transport'!$H$7:$H$47,'Jul17-Jun18 Transport'!$F$7:$F$47,'Jul17-Jun18 Retail'!$E171,'Jul17-Jun18 Transport'!$D$7:$D$47,'Jul17-Jun18 Retail'!$F171)</f>
        <v>73</v>
      </c>
      <c r="H171" s="599">
        <f>SUMIFS('Jul17-Jun18 Transport'!$K$7:$K$47,'Jul17-Jun18 Transport'!$F$7:$F$47,'Jul17-Jun18 Retail'!$E171,'Jul17-Jun18 Transport'!$D$7:$D$47,'Jul17-Jun18 Retail'!$F171)</f>
        <v>11319790.608328255</v>
      </c>
      <c r="I171" s="52">
        <f t="shared" si="386"/>
        <v>1131979.0608328255</v>
      </c>
    </row>
    <row r="172" spans="4:9" ht="15" x14ac:dyDescent="0.25">
      <c r="D172" s="43"/>
      <c r="E172" s="637">
        <v>895</v>
      </c>
      <c r="F172" s="804">
        <v>43040</v>
      </c>
      <c r="G172" s="13">
        <f>SUMIFS('Jul17-Jun18 Transport'!$H$7:$H$47,'Jul17-Jun18 Transport'!$F$7:$F$47,'Jul17-Jun18 Retail'!$E172,'Jul17-Jun18 Transport'!$D$7:$D$47,'Jul17-Jun18 Retail'!$F172)</f>
        <v>73</v>
      </c>
      <c r="H172" s="599">
        <f>SUMIFS('Jul17-Jun18 Transport'!$K$7:$K$47,'Jul17-Jun18 Transport'!$F$7:$F$47,'Jul17-Jun18 Retail'!$E172,'Jul17-Jun18 Transport'!$D$7:$D$47,'Jul17-Jun18 Retail'!$F172)</f>
        <v>14067282.446911134</v>
      </c>
      <c r="I172" s="52">
        <f t="shared" si="386"/>
        <v>1406728.2446911135</v>
      </c>
    </row>
    <row r="173" spans="4:9" ht="15" x14ac:dyDescent="0.25">
      <c r="D173" s="43"/>
      <c r="E173" s="250">
        <v>895</v>
      </c>
      <c r="F173" s="805">
        <v>43070</v>
      </c>
      <c r="G173" s="597">
        <f>SUMIFS('Jul17-Jun18 Transport'!$H$7:$H$47,'Jul17-Jun18 Transport'!$F$7:$F$47,'Jul17-Jun18 Retail'!$E173,'Jul17-Jun18 Transport'!$D$7:$D$47,'Jul17-Jun18 Retail'!$F173)</f>
        <v>73</v>
      </c>
      <c r="H173" s="806">
        <f>SUMIFS('Jul17-Jun18 Transport'!$K$7:$K$47,'Jul17-Jun18 Transport'!$F$7:$F$47,'Jul17-Jun18 Retail'!$E173,'Jul17-Jun18 Transport'!$D$7:$D$47,'Jul17-Jun18 Retail'!$F173)</f>
        <v>14794975.100335963</v>
      </c>
      <c r="I173" s="594">
        <f t="shared" si="386"/>
        <v>1479497.5100335963</v>
      </c>
    </row>
    <row r="174" spans="4:9" ht="15" x14ac:dyDescent="0.25">
      <c r="D174" s="43"/>
      <c r="E174" s="43"/>
      <c r="G174" s="13">
        <f>SUM(G168:G173)</f>
        <v>438</v>
      </c>
      <c r="H174" s="599">
        <f t="shared" ref="H174:I174" si="387">SUM(H168:H173)</f>
        <v>62332086.450796291</v>
      </c>
      <c r="I174" s="599">
        <f t="shared" si="387"/>
        <v>6233208.6450796295</v>
      </c>
    </row>
    <row r="175" spans="4:9" ht="15" x14ac:dyDescent="0.25">
      <c r="D175" s="43"/>
      <c r="E175" s="43"/>
    </row>
    <row r="176" spans="4:9" ht="15" x14ac:dyDescent="0.25">
      <c r="D176" s="43"/>
      <c r="E176" s="43"/>
    </row>
    <row r="177" spans="4:5" ht="15" x14ac:dyDescent="0.25">
      <c r="D177" s="43"/>
      <c r="E177" s="43"/>
    </row>
    <row r="178" spans="4:5" ht="15" x14ac:dyDescent="0.25">
      <c r="D178" s="43"/>
      <c r="E178" s="43"/>
    </row>
    <row r="179" spans="4:5" ht="15" x14ac:dyDescent="0.25">
      <c r="D179" s="43"/>
      <c r="E179" s="43"/>
    </row>
    <row r="180" spans="4:5" ht="15" x14ac:dyDescent="0.25">
      <c r="D180" s="43"/>
      <c r="E180" s="43"/>
    </row>
    <row r="181" spans="4:5" ht="15" x14ac:dyDescent="0.25">
      <c r="D181" s="43"/>
      <c r="E181" s="43"/>
    </row>
    <row r="182" spans="4:5" ht="15" x14ac:dyDescent="0.25">
      <c r="D182" s="43"/>
      <c r="E182" s="43"/>
    </row>
    <row r="183" spans="4:5" ht="15" x14ac:dyDescent="0.25">
      <c r="D183" s="43"/>
      <c r="E183" s="43"/>
    </row>
    <row r="184" spans="4:5" ht="15" x14ac:dyDescent="0.25">
      <c r="D184" s="43"/>
      <c r="E184" s="43"/>
    </row>
    <row r="185" spans="4:5" ht="15" x14ac:dyDescent="0.25">
      <c r="D185" s="43"/>
      <c r="E185" s="43"/>
    </row>
    <row r="186" spans="4:5" ht="15" x14ac:dyDescent="0.25">
      <c r="D186" s="43"/>
      <c r="E186" s="43"/>
    </row>
    <row r="187" spans="4:5" ht="15" x14ac:dyDescent="0.25">
      <c r="D187" s="43"/>
      <c r="E187" s="43"/>
    </row>
    <row r="188" spans="4:5" ht="15" x14ac:dyDescent="0.25">
      <c r="D188" s="43"/>
      <c r="E188" s="43"/>
    </row>
    <row r="189" spans="4:5" ht="15" x14ac:dyDescent="0.25">
      <c r="D189" s="43"/>
      <c r="E189" s="43"/>
    </row>
    <row r="190" spans="4:5" ht="15" x14ac:dyDescent="0.25">
      <c r="D190" s="43"/>
      <c r="E190" s="43"/>
    </row>
    <row r="191" spans="4:5" ht="15" x14ac:dyDescent="0.25">
      <c r="D191" s="43"/>
      <c r="E191" s="43"/>
    </row>
    <row r="192" spans="4:5" ht="15" x14ac:dyDescent="0.25">
      <c r="D192" s="43"/>
      <c r="E192" s="43"/>
    </row>
    <row r="193" spans="4:5" ht="15" x14ac:dyDescent="0.25">
      <c r="D193" s="43"/>
      <c r="E193" s="43"/>
    </row>
    <row r="194" spans="4:5" ht="15" x14ac:dyDescent="0.25">
      <c r="D194" s="43"/>
      <c r="E194" s="43"/>
    </row>
    <row r="195" spans="4:5" ht="15" x14ac:dyDescent="0.25">
      <c r="D195" s="43"/>
      <c r="E195" s="43"/>
    </row>
    <row r="196" spans="4:5" ht="15" x14ac:dyDescent="0.25">
      <c r="D196" s="43"/>
      <c r="E196" s="43"/>
    </row>
    <row r="197" spans="4:5" ht="15" x14ac:dyDescent="0.25">
      <c r="D197" s="43"/>
      <c r="E197" s="43"/>
    </row>
    <row r="198" spans="4:5" ht="15" x14ac:dyDescent="0.25">
      <c r="D198" s="43"/>
      <c r="E198" s="43"/>
    </row>
    <row r="199" spans="4:5" ht="15" x14ac:dyDescent="0.25">
      <c r="D199" s="43"/>
      <c r="E199" s="43"/>
    </row>
    <row r="200" spans="4:5" ht="15" x14ac:dyDescent="0.25">
      <c r="D200" s="43"/>
      <c r="E200" s="43"/>
    </row>
    <row r="201" spans="4:5" ht="15" x14ac:dyDescent="0.25">
      <c r="D201" s="43"/>
      <c r="E201" s="43"/>
    </row>
    <row r="202" spans="4:5" ht="15" x14ac:dyDescent="0.25">
      <c r="D202" s="43"/>
      <c r="E202" s="43"/>
    </row>
    <row r="203" spans="4:5" ht="15" x14ac:dyDescent="0.25">
      <c r="D203" s="43"/>
      <c r="E203" s="43"/>
    </row>
    <row r="204" spans="4:5" ht="15" x14ac:dyDescent="0.25">
      <c r="D204" s="43"/>
      <c r="E204" s="43"/>
    </row>
    <row r="205" spans="4:5" ht="15" x14ac:dyDescent="0.25">
      <c r="D205" s="43"/>
      <c r="E205" s="43"/>
    </row>
    <row r="206" spans="4:5" ht="15" x14ac:dyDescent="0.25">
      <c r="D206" s="43"/>
      <c r="E206" s="43"/>
    </row>
    <row r="207" spans="4:5" ht="15" x14ac:dyDescent="0.25">
      <c r="D207" s="43"/>
      <c r="E207" s="43"/>
    </row>
    <row r="208" spans="4:5" ht="15" x14ac:dyDescent="0.25">
      <c r="D208" s="43"/>
      <c r="E208" s="43"/>
    </row>
    <row r="209" spans="4:5" ht="15" x14ac:dyDescent="0.25">
      <c r="D209" s="43"/>
      <c r="E209" s="43"/>
    </row>
    <row r="210" spans="4:5" ht="15" x14ac:dyDescent="0.25">
      <c r="D210" s="43"/>
      <c r="E210" s="43"/>
    </row>
    <row r="211" spans="4:5" ht="15" x14ac:dyDescent="0.25">
      <c r="D211" s="43"/>
      <c r="E211" s="43"/>
    </row>
    <row r="212" spans="4:5" x14ac:dyDescent="0.2">
      <c r="D212" s="361"/>
    </row>
    <row r="213" spans="4:5" x14ac:dyDescent="0.2">
      <c r="D213" s="361"/>
    </row>
    <row r="214" spans="4:5" x14ac:dyDescent="0.2">
      <c r="D214" s="361"/>
    </row>
    <row r="215" spans="4:5" x14ac:dyDescent="0.2">
      <c r="D215" s="361"/>
    </row>
    <row r="216" spans="4:5" x14ac:dyDescent="0.2">
      <c r="D216" s="361"/>
    </row>
    <row r="217" spans="4:5" x14ac:dyDescent="0.2">
      <c r="D217" s="361"/>
    </row>
    <row r="218" spans="4:5" x14ac:dyDescent="0.2">
      <c r="D218" s="361"/>
    </row>
    <row r="219" spans="4:5" x14ac:dyDescent="0.2">
      <c r="D219" s="361"/>
    </row>
    <row r="220" spans="4:5" x14ac:dyDescent="0.2">
      <c r="D220" s="361"/>
    </row>
    <row r="221" spans="4:5" x14ac:dyDescent="0.2">
      <c r="D221" s="361"/>
    </row>
    <row r="222" spans="4:5" x14ac:dyDescent="0.2">
      <c r="D222" s="361"/>
    </row>
    <row r="223" spans="4:5" x14ac:dyDescent="0.2">
      <c r="D223" s="361"/>
    </row>
    <row r="224" spans="4:5" x14ac:dyDescent="0.2">
      <c r="D224" s="361"/>
    </row>
    <row r="225" spans="4:4" x14ac:dyDescent="0.2">
      <c r="D225" s="361"/>
    </row>
    <row r="226" spans="4:4" x14ac:dyDescent="0.2">
      <c r="D226" s="361"/>
    </row>
    <row r="227" spans="4:4" x14ac:dyDescent="0.2">
      <c r="D227" s="361"/>
    </row>
    <row r="228" spans="4:4" x14ac:dyDescent="0.2">
      <c r="D228" s="361"/>
    </row>
    <row r="229" spans="4:4" x14ac:dyDescent="0.2">
      <c r="D229" s="361"/>
    </row>
    <row r="230" spans="4:4" x14ac:dyDescent="0.2">
      <c r="D230" s="361"/>
    </row>
    <row r="231" spans="4:4" x14ac:dyDescent="0.2">
      <c r="D231" s="361"/>
    </row>
    <row r="232" spans="4:4" x14ac:dyDescent="0.2">
      <c r="D232" s="361"/>
    </row>
    <row r="233" spans="4:4" x14ac:dyDescent="0.2">
      <c r="D233" s="361"/>
    </row>
    <row r="234" spans="4:4" x14ac:dyDescent="0.2">
      <c r="D234" s="361"/>
    </row>
    <row r="235" spans="4:4" x14ac:dyDescent="0.2">
      <c r="D235" s="361"/>
    </row>
    <row r="236" spans="4:4" x14ac:dyDescent="0.2">
      <c r="D236" s="361"/>
    </row>
    <row r="237" spans="4:4" x14ac:dyDescent="0.2">
      <c r="D237" s="361"/>
    </row>
    <row r="238" spans="4:4" x14ac:dyDescent="0.2">
      <c r="D238" s="361"/>
    </row>
    <row r="239" spans="4:4" x14ac:dyDescent="0.2">
      <c r="D239" s="361"/>
    </row>
    <row r="240" spans="4:4" x14ac:dyDescent="0.2">
      <c r="D240" s="361"/>
    </row>
    <row r="241" spans="4:4" x14ac:dyDescent="0.2">
      <c r="D241" s="361"/>
    </row>
    <row r="242" spans="4:4" x14ac:dyDescent="0.2">
      <c r="D242" s="361"/>
    </row>
    <row r="243" spans="4:4" x14ac:dyDescent="0.2">
      <c r="D243" s="361"/>
    </row>
    <row r="244" spans="4:4" x14ac:dyDescent="0.2">
      <c r="D244" s="361"/>
    </row>
    <row r="245" spans="4:4" x14ac:dyDescent="0.2">
      <c r="D245" s="361"/>
    </row>
    <row r="246" spans="4:4" x14ac:dyDescent="0.2">
      <c r="D246" s="361"/>
    </row>
    <row r="247" spans="4:4" x14ac:dyDescent="0.2">
      <c r="D247" s="361"/>
    </row>
    <row r="248" spans="4:4" x14ac:dyDescent="0.2">
      <c r="D248" s="361"/>
    </row>
    <row r="249" spans="4:4" x14ac:dyDescent="0.2">
      <c r="D249" s="361"/>
    </row>
    <row r="250" spans="4:4" x14ac:dyDescent="0.2">
      <c r="D250" s="361"/>
    </row>
    <row r="251" spans="4:4" x14ac:dyDescent="0.2">
      <c r="D251" s="361"/>
    </row>
    <row r="252" spans="4:4" x14ac:dyDescent="0.2">
      <c r="D252" s="361"/>
    </row>
    <row r="253" spans="4:4" x14ac:dyDescent="0.2">
      <c r="D253" s="361"/>
    </row>
    <row r="254" spans="4:4" x14ac:dyDescent="0.2">
      <c r="D254" s="361"/>
    </row>
    <row r="255" spans="4:4" x14ac:dyDescent="0.2">
      <c r="D255" s="361"/>
    </row>
    <row r="256" spans="4:4" x14ac:dyDescent="0.2">
      <c r="D256" s="361"/>
    </row>
    <row r="257" spans="4:4" x14ac:dyDescent="0.2">
      <c r="D257" s="361"/>
    </row>
    <row r="258" spans="4:4" x14ac:dyDescent="0.2">
      <c r="D258" s="361"/>
    </row>
    <row r="259" spans="4:4" x14ac:dyDescent="0.2">
      <c r="D259" s="361"/>
    </row>
    <row r="260" spans="4:4" x14ac:dyDescent="0.2">
      <c r="D260" s="361"/>
    </row>
    <row r="261" spans="4:4" x14ac:dyDescent="0.2">
      <c r="D261" s="361"/>
    </row>
    <row r="262" spans="4:4" x14ac:dyDescent="0.2">
      <c r="D262" s="361"/>
    </row>
    <row r="263" spans="4:4" x14ac:dyDescent="0.2">
      <c r="D263" s="361"/>
    </row>
    <row r="264" spans="4:4" x14ac:dyDescent="0.2">
      <c r="D264" s="361"/>
    </row>
    <row r="265" spans="4:4" x14ac:dyDescent="0.2">
      <c r="D265" s="361"/>
    </row>
    <row r="266" spans="4:4" x14ac:dyDescent="0.2">
      <c r="D266" s="361"/>
    </row>
    <row r="267" spans="4:4" x14ac:dyDescent="0.2">
      <c r="D267" s="361"/>
    </row>
  </sheetData>
  <conditionalFormatting sqref="BB7:BB32 BB55:BB60 BB62:BB67 BB69:BB74 BB76:BB81 BB83:BB88 BB34:BB53">
    <cfRule type="cellIs" dxfId="19" priority="64" operator="notBetween">
      <formula>0.998</formula>
      <formula>1.002</formula>
    </cfRule>
  </conditionalFormatting>
  <conditionalFormatting sqref="BB33">
    <cfRule type="cellIs" dxfId="18" priority="30" operator="notBetween">
      <formula>0.998</formula>
      <formula>1.002</formula>
    </cfRule>
  </conditionalFormatting>
  <conditionalFormatting sqref="BB54">
    <cfRule type="cellIs" dxfId="17" priority="21" operator="notBetween">
      <formula>0.998</formula>
      <formula>1.002</formula>
    </cfRule>
  </conditionalFormatting>
  <conditionalFormatting sqref="BB61">
    <cfRule type="cellIs" dxfId="16" priority="18" operator="notBetween">
      <formula>0.998</formula>
      <formula>1.002</formula>
    </cfRule>
  </conditionalFormatting>
  <conditionalFormatting sqref="BB68">
    <cfRule type="cellIs" dxfId="15" priority="15" operator="notBetween">
      <formula>0.998</formula>
      <formula>1.002</formula>
    </cfRule>
  </conditionalFormatting>
  <conditionalFormatting sqref="BB75">
    <cfRule type="cellIs" dxfId="14" priority="12" operator="notBetween">
      <formula>0.998</formula>
      <formula>1.002</formula>
    </cfRule>
  </conditionalFormatting>
  <conditionalFormatting sqref="BB82">
    <cfRule type="cellIs" dxfId="13" priority="9" operator="notBetween">
      <formula>0.998</formula>
      <formula>1.002</formula>
    </cfRule>
  </conditionalFormatting>
  <conditionalFormatting sqref="BB89">
    <cfRule type="cellIs" dxfId="12" priority="3" operator="notBetween">
      <formula>0.998</formula>
      <formula>1.002</formula>
    </cfRule>
  </conditionalFormatting>
  <pageMargins left="0.7" right="0.7" top="0.75" bottom="0.75" header="0.3" footer="0.3"/>
  <pageSetup scale="1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W258"/>
  <sheetViews>
    <sheetView topLeftCell="AZ1" workbookViewId="0">
      <selection activeCell="AZ2" sqref="AZ2"/>
    </sheetView>
  </sheetViews>
  <sheetFormatPr defaultColWidth="9.140625" defaultRowHeight="12.75" x14ac:dyDescent="0.2"/>
  <cols>
    <col min="1" max="2" width="9.140625" style="13" customWidth="1"/>
    <col min="3" max="3" width="9.140625" style="50" customWidth="1"/>
    <col min="4" max="4" width="9.140625" style="50"/>
    <col min="5" max="5" width="14" style="50" bestFit="1" customWidth="1"/>
    <col min="6" max="6" width="11.85546875" style="13" customWidth="1"/>
    <col min="7" max="7" width="17.28515625" style="13" customWidth="1"/>
    <col min="8" max="10" width="11.85546875" style="13" customWidth="1"/>
    <col min="11" max="11" width="13.28515625" style="13" customWidth="1"/>
    <col min="12" max="13" width="13" style="13" customWidth="1"/>
    <col min="14" max="14" width="13.5703125" style="13" customWidth="1"/>
    <col min="15" max="15" width="10" style="13" customWidth="1"/>
    <col min="16" max="16" width="10.42578125" style="13" customWidth="1"/>
    <col min="17" max="17" width="11.5703125" style="13" customWidth="1"/>
    <col min="18" max="18" width="11.140625" style="13" customWidth="1"/>
    <col min="19" max="19" width="11" style="13" customWidth="1"/>
    <col min="20" max="20" width="11.7109375" style="13" customWidth="1"/>
    <col min="21" max="21" width="11" style="13" customWidth="1"/>
    <col min="22" max="22" width="10.28515625" style="13" customWidth="1"/>
    <col min="23" max="23" width="13.5703125" style="13" customWidth="1"/>
    <col min="24" max="24" width="17.28515625" style="13" customWidth="1"/>
    <col min="25" max="25" width="14.42578125" style="13" customWidth="1"/>
    <col min="26" max="26" width="14" style="13" customWidth="1"/>
    <col min="27" max="27" width="17.28515625" style="13" customWidth="1"/>
    <col min="28" max="28" width="17.7109375" style="13" customWidth="1"/>
    <col min="29" max="29" width="15.42578125" style="13" customWidth="1"/>
    <col min="30" max="30" width="10" style="13" customWidth="1"/>
    <col min="31" max="31" width="9.140625" style="13" customWidth="1"/>
    <col min="32" max="32" width="13" style="13" customWidth="1"/>
    <col min="33" max="33" width="14.85546875" style="13" customWidth="1"/>
    <col min="34" max="35" width="10.42578125" style="13" customWidth="1"/>
    <col min="36" max="36" width="13.7109375" style="13" customWidth="1"/>
    <col min="37" max="37" width="11" style="13" customWidth="1"/>
    <col min="38" max="38" width="13.140625" style="13" customWidth="1"/>
    <col min="39" max="39" width="11.5703125" style="13" customWidth="1"/>
    <col min="40" max="40" width="15.28515625" style="13" customWidth="1"/>
    <col min="41" max="41" width="9.140625" style="13" customWidth="1"/>
    <col min="42" max="42" width="14.140625" style="13" customWidth="1"/>
    <col min="43" max="43" width="16.28515625" style="13" bestFit="1" customWidth="1"/>
    <col min="44" max="44" width="14.140625" style="13" customWidth="1"/>
    <col min="45" max="45" width="15.7109375" style="13" customWidth="1"/>
    <col min="46" max="48" width="14" style="13" customWidth="1"/>
    <col min="49" max="49" width="16.7109375" style="13" customWidth="1"/>
    <col min="50" max="50" width="15.140625" style="13" customWidth="1"/>
    <col min="51" max="52" width="15.28515625" style="13" customWidth="1"/>
    <col min="53" max="53" width="15.42578125" style="13" customWidth="1"/>
    <col min="54" max="54" width="12.85546875" style="13" bestFit="1" customWidth="1"/>
    <col min="55" max="55" width="17.28515625" style="13" customWidth="1"/>
    <col min="56" max="56" width="16.7109375" style="13" customWidth="1"/>
    <col min="57" max="57" width="15.85546875" style="13" customWidth="1"/>
    <col min="58" max="58" width="14.5703125" style="13" customWidth="1"/>
    <col min="59" max="59" width="17.85546875" style="13" customWidth="1"/>
    <col min="60" max="61" width="16.140625" style="13" customWidth="1"/>
    <col min="62" max="62" width="13.28515625" style="13" customWidth="1"/>
    <col min="63" max="63" width="16" style="13" customWidth="1"/>
    <col min="64" max="64" width="15.85546875" style="13" customWidth="1"/>
    <col min="65" max="65" width="12.85546875" style="13" bestFit="1" customWidth="1"/>
    <col min="66" max="66" width="14.85546875" style="13" bestFit="1" customWidth="1"/>
    <col min="67" max="67" width="12.140625" style="13" bestFit="1" customWidth="1"/>
    <col min="68" max="68" width="14.28515625" style="13" bestFit="1" customWidth="1"/>
    <col min="69" max="69" width="9.140625" style="13"/>
    <col min="70" max="70" width="16" style="13" customWidth="1"/>
    <col min="71" max="71" width="15.28515625" style="13" bestFit="1" customWidth="1"/>
    <col min="72" max="72" width="14" style="13" customWidth="1"/>
    <col min="73" max="73" width="12.42578125" style="13" bestFit="1" customWidth="1"/>
    <col min="74" max="74" width="15.5703125" style="13" customWidth="1"/>
    <col min="75" max="75" width="10.85546875" style="13" bestFit="1" customWidth="1"/>
    <col min="76" max="16384" width="9.140625" style="13"/>
  </cols>
  <sheetData>
    <row r="1" spans="2:75" ht="13.5" thickBot="1" x14ac:dyDescent="0.25">
      <c r="C1" s="6"/>
      <c r="D1" s="6"/>
      <c r="E1" s="6"/>
      <c r="F1" s="6"/>
      <c r="G1" s="6"/>
      <c r="H1" s="17"/>
      <c r="I1" s="17"/>
      <c r="J1" s="17"/>
      <c r="K1" s="17"/>
      <c r="L1" s="17"/>
      <c r="M1" s="17"/>
      <c r="N1" s="17"/>
      <c r="O1" s="20"/>
      <c r="P1" s="20"/>
      <c r="Q1" s="20"/>
      <c r="R1" s="20"/>
      <c r="S1" s="20"/>
      <c r="T1" s="20"/>
      <c r="U1" s="20"/>
      <c r="V1" s="20"/>
      <c r="W1" s="20"/>
      <c r="X1" s="17"/>
      <c r="Y1" s="17"/>
      <c r="Z1" s="28"/>
      <c r="AA1" s="28"/>
      <c r="AB1" s="17"/>
      <c r="AC1" s="17"/>
      <c r="AD1" s="17"/>
      <c r="AE1" s="17"/>
      <c r="AF1" s="17"/>
      <c r="AG1" s="17"/>
      <c r="AH1" s="37"/>
      <c r="AI1" s="37"/>
      <c r="AJ1" s="37"/>
      <c r="AK1" s="37"/>
      <c r="AL1" s="37"/>
      <c r="AM1" s="37"/>
      <c r="AN1" s="37"/>
      <c r="AO1" s="37"/>
      <c r="AP1" s="37"/>
      <c r="AQ1" s="17"/>
      <c r="AR1" s="28"/>
      <c r="AS1" s="28"/>
      <c r="AT1" s="17"/>
      <c r="AU1" s="17"/>
      <c r="AV1" s="17"/>
      <c r="AW1" s="17"/>
      <c r="AX1" s="17"/>
      <c r="AY1" s="17"/>
      <c r="AZ1" s="17"/>
      <c r="BA1" s="17"/>
      <c r="BB1" s="17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</row>
    <row r="2" spans="2:75" ht="13.5" thickBot="1" x14ac:dyDescent="0.25">
      <c r="C2" s="6"/>
      <c r="D2" s="6"/>
      <c r="E2" s="6"/>
      <c r="F2" s="6"/>
      <c r="G2" s="6"/>
      <c r="H2" s="25"/>
      <c r="I2" s="25"/>
      <c r="J2" s="25"/>
      <c r="K2" s="25"/>
      <c r="L2" s="25"/>
      <c r="M2" s="25"/>
      <c r="N2" s="17"/>
      <c r="O2" s="20"/>
      <c r="P2" s="20"/>
      <c r="Q2" s="20"/>
      <c r="R2" s="20"/>
      <c r="S2" s="20"/>
      <c r="T2" s="20"/>
      <c r="U2" s="20"/>
      <c r="V2" s="20"/>
      <c r="W2" s="20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37"/>
      <c r="AI2" s="37"/>
      <c r="AJ2" s="37"/>
      <c r="AK2" s="37"/>
      <c r="AL2" s="37"/>
      <c r="AM2" s="37"/>
      <c r="AN2" s="37"/>
      <c r="AO2" s="37"/>
      <c r="AP2" s="3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Q2" s="55"/>
    </row>
    <row r="3" spans="2:75" ht="13.5" thickBot="1" x14ac:dyDescent="0.25">
      <c r="C3" s="6">
        <v>1</v>
      </c>
      <c r="D3" s="6">
        <f>1+C3</f>
        <v>2</v>
      </c>
      <c r="E3" s="6">
        <f>1+D3</f>
        <v>3</v>
      </c>
      <c r="F3" s="6">
        <f>1+E3</f>
        <v>4</v>
      </c>
      <c r="G3" s="6">
        <f>1+F3</f>
        <v>5</v>
      </c>
      <c r="H3" s="17">
        <f t="shared" ref="H3:BB3" si="0">+G3+1</f>
        <v>6</v>
      </c>
      <c r="I3" s="17">
        <f t="shared" si="0"/>
        <v>7</v>
      </c>
      <c r="J3" s="17">
        <f t="shared" si="0"/>
        <v>8</v>
      </c>
      <c r="K3" s="17">
        <f t="shared" si="0"/>
        <v>9</v>
      </c>
      <c r="L3" s="17">
        <f t="shared" si="0"/>
        <v>10</v>
      </c>
      <c r="M3" s="17"/>
      <c r="N3" s="17">
        <f>+L3+1</f>
        <v>11</v>
      </c>
      <c r="O3" s="20">
        <f t="shared" si="0"/>
        <v>12</v>
      </c>
      <c r="P3" s="20">
        <f t="shared" si="0"/>
        <v>13</v>
      </c>
      <c r="Q3" s="20">
        <f t="shared" si="0"/>
        <v>14</v>
      </c>
      <c r="R3" s="20">
        <f t="shared" si="0"/>
        <v>15</v>
      </c>
      <c r="S3" s="20">
        <f t="shared" si="0"/>
        <v>16</v>
      </c>
      <c r="T3" s="20">
        <f t="shared" si="0"/>
        <v>17</v>
      </c>
      <c r="U3" s="20">
        <f t="shared" si="0"/>
        <v>18</v>
      </c>
      <c r="V3" s="20">
        <f t="shared" si="0"/>
        <v>19</v>
      </c>
      <c r="W3" s="20">
        <f t="shared" si="0"/>
        <v>20</v>
      </c>
      <c r="X3" s="17">
        <f t="shared" si="0"/>
        <v>21</v>
      </c>
      <c r="Y3" s="17">
        <f t="shared" si="0"/>
        <v>22</v>
      </c>
      <c r="Z3" s="17">
        <f t="shared" si="0"/>
        <v>23</v>
      </c>
      <c r="AA3" s="17">
        <f t="shared" si="0"/>
        <v>24</v>
      </c>
      <c r="AB3" s="17">
        <f t="shared" si="0"/>
        <v>25</v>
      </c>
      <c r="AC3" s="17">
        <f>+AB3+1</f>
        <v>26</v>
      </c>
      <c r="AD3" s="17">
        <f>+AC3+1</f>
        <v>27</v>
      </c>
      <c r="AE3" s="17">
        <f>+AD3+1</f>
        <v>28</v>
      </c>
      <c r="AF3" s="17">
        <f t="shared" si="0"/>
        <v>29</v>
      </c>
      <c r="AG3" s="17">
        <f t="shared" si="0"/>
        <v>30</v>
      </c>
      <c r="AH3" s="37">
        <f t="shared" si="0"/>
        <v>31</v>
      </c>
      <c r="AI3" s="37">
        <f t="shared" si="0"/>
        <v>32</v>
      </c>
      <c r="AJ3" s="37">
        <f t="shared" si="0"/>
        <v>33</v>
      </c>
      <c r="AK3" s="37">
        <f t="shared" si="0"/>
        <v>34</v>
      </c>
      <c r="AL3" s="37">
        <f t="shared" si="0"/>
        <v>35</v>
      </c>
      <c r="AM3" s="37">
        <f t="shared" si="0"/>
        <v>36</v>
      </c>
      <c r="AN3" s="37">
        <f t="shared" si="0"/>
        <v>37</v>
      </c>
      <c r="AO3" s="37">
        <f t="shared" si="0"/>
        <v>38</v>
      </c>
      <c r="AP3" s="37">
        <f t="shared" si="0"/>
        <v>39</v>
      </c>
      <c r="AQ3" s="17">
        <f t="shared" si="0"/>
        <v>40</v>
      </c>
      <c r="AR3" s="17">
        <f t="shared" si="0"/>
        <v>41</v>
      </c>
      <c r="AS3" s="17">
        <f t="shared" si="0"/>
        <v>42</v>
      </c>
      <c r="AT3" s="17">
        <f t="shared" si="0"/>
        <v>43</v>
      </c>
      <c r="AU3" s="17"/>
      <c r="AV3" s="17"/>
      <c r="AW3" s="17">
        <f>+AT3+1</f>
        <v>44</v>
      </c>
      <c r="AX3" s="17">
        <f t="shared" si="0"/>
        <v>45</v>
      </c>
      <c r="AY3" s="17">
        <f t="shared" si="0"/>
        <v>46</v>
      </c>
      <c r="AZ3" s="17"/>
      <c r="BA3" s="17">
        <f>+AY3+1</f>
        <v>47</v>
      </c>
      <c r="BB3" s="17">
        <f t="shared" si="0"/>
        <v>48</v>
      </c>
      <c r="BC3" s="20">
        <f>1+BB3</f>
        <v>49</v>
      </c>
      <c r="BD3" s="20">
        <f t="shared" ref="BD3:BL3" si="1">1+BC3</f>
        <v>50</v>
      </c>
      <c r="BE3" s="20">
        <f t="shared" si="1"/>
        <v>51</v>
      </c>
      <c r="BF3" s="20">
        <f>1+BE3</f>
        <v>52</v>
      </c>
      <c r="BG3" s="20">
        <f t="shared" si="1"/>
        <v>53</v>
      </c>
      <c r="BH3" s="20">
        <f t="shared" si="1"/>
        <v>54</v>
      </c>
      <c r="BI3" s="20"/>
      <c r="BJ3" s="20">
        <f>1+BH3</f>
        <v>55</v>
      </c>
      <c r="BK3" s="20">
        <f t="shared" si="1"/>
        <v>56</v>
      </c>
      <c r="BL3" s="20">
        <f t="shared" si="1"/>
        <v>57</v>
      </c>
      <c r="BM3" s="20">
        <f>1+BL3</f>
        <v>58</v>
      </c>
      <c r="BN3" s="20">
        <v>59</v>
      </c>
      <c r="BQ3" s="55"/>
    </row>
    <row r="4" spans="2:75" x14ac:dyDescent="0.2">
      <c r="C4" s="7"/>
      <c r="D4" s="8"/>
      <c r="E4" s="8"/>
      <c r="F4" s="8"/>
      <c r="G4" s="8"/>
      <c r="H4" s="18" t="s">
        <v>542</v>
      </c>
      <c r="I4" s="18"/>
      <c r="J4" s="18"/>
      <c r="K4" s="19"/>
      <c r="L4" s="19"/>
      <c r="M4" s="19"/>
      <c r="N4" s="19"/>
      <c r="O4" s="21" t="s">
        <v>540</v>
      </c>
      <c r="P4" s="22"/>
      <c r="Q4" s="22"/>
      <c r="R4" s="22"/>
      <c r="S4" s="22"/>
      <c r="T4" s="22"/>
      <c r="U4" s="22"/>
      <c r="V4" s="22"/>
      <c r="W4" s="22"/>
      <c r="X4" s="18" t="s">
        <v>541</v>
      </c>
      <c r="Y4" s="18"/>
      <c r="Z4" s="19"/>
      <c r="AA4" s="19"/>
      <c r="AB4" s="19"/>
      <c r="AC4" s="19"/>
      <c r="AD4" s="29"/>
      <c r="AE4" s="29"/>
      <c r="AF4" s="19"/>
      <c r="AG4" s="19"/>
      <c r="AH4" s="41" t="s">
        <v>174</v>
      </c>
      <c r="AI4" s="41"/>
      <c r="AJ4" s="41"/>
      <c r="AK4" s="38"/>
      <c r="AL4" s="38"/>
      <c r="AM4" s="38"/>
      <c r="AN4" s="38"/>
      <c r="AO4" s="38"/>
      <c r="AP4" s="38"/>
      <c r="AQ4" s="18" t="s">
        <v>541</v>
      </c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21" t="s">
        <v>160</v>
      </c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30"/>
    </row>
    <row r="5" spans="2:75" ht="38.25" x14ac:dyDescent="0.2">
      <c r="C5" s="9" t="s">
        <v>151</v>
      </c>
      <c r="D5" s="10" t="s">
        <v>149</v>
      </c>
      <c r="E5" s="10" t="s">
        <v>1</v>
      </c>
      <c r="F5" s="9" t="s">
        <v>152</v>
      </c>
      <c r="G5" s="9" t="s">
        <v>153</v>
      </c>
      <c r="H5" s="15" t="s">
        <v>158</v>
      </c>
      <c r="I5" s="15" t="s">
        <v>197</v>
      </c>
      <c r="J5" s="15" t="s">
        <v>198</v>
      </c>
      <c r="K5" s="16" t="s">
        <v>161</v>
      </c>
      <c r="L5" s="16" t="s">
        <v>162</v>
      </c>
      <c r="M5" s="16" t="s">
        <v>556</v>
      </c>
      <c r="N5" s="16" t="s">
        <v>208</v>
      </c>
      <c r="O5" s="23" t="s">
        <v>159</v>
      </c>
      <c r="P5" s="23" t="s">
        <v>163</v>
      </c>
      <c r="Q5" s="23" t="s">
        <v>155</v>
      </c>
      <c r="R5" s="23" t="s">
        <v>166</v>
      </c>
      <c r="S5" s="23" t="s">
        <v>167</v>
      </c>
      <c r="T5" s="23" t="s">
        <v>537</v>
      </c>
      <c r="U5" s="23" t="s">
        <v>157</v>
      </c>
      <c r="V5" s="23" t="s">
        <v>424</v>
      </c>
      <c r="W5" s="23"/>
      <c r="X5" s="16" t="s">
        <v>336</v>
      </c>
      <c r="Y5" s="16" t="s">
        <v>168</v>
      </c>
      <c r="Z5" s="16" t="s">
        <v>538</v>
      </c>
      <c r="AA5" s="16" t="s">
        <v>166</v>
      </c>
      <c r="AB5" s="16" t="s">
        <v>167</v>
      </c>
      <c r="AC5" s="16" t="s">
        <v>539</v>
      </c>
      <c r="AD5" s="16" t="s">
        <v>424</v>
      </c>
      <c r="AE5" s="15"/>
      <c r="AF5" s="16" t="s">
        <v>157</v>
      </c>
      <c r="AG5" s="16"/>
      <c r="AH5" s="45" t="s">
        <v>199</v>
      </c>
      <c r="AI5" s="45" t="s">
        <v>200</v>
      </c>
      <c r="AJ5" s="39" t="s">
        <v>175</v>
      </c>
      <c r="AK5" s="39" t="s">
        <v>168</v>
      </c>
      <c r="AL5" s="39" t="s">
        <v>166</v>
      </c>
      <c r="AM5" s="45" t="s">
        <v>167</v>
      </c>
      <c r="AN5" s="39" t="s">
        <v>238</v>
      </c>
      <c r="AO5" s="39" t="s">
        <v>180</v>
      </c>
      <c r="AP5" s="39" t="s">
        <v>157</v>
      </c>
      <c r="AQ5" s="16" t="s">
        <v>164</v>
      </c>
      <c r="AR5" s="16" t="s">
        <v>168</v>
      </c>
      <c r="AS5" s="16" t="s">
        <v>166</v>
      </c>
      <c r="AT5" s="16" t="s">
        <v>167</v>
      </c>
      <c r="AU5" s="16" t="s">
        <v>538</v>
      </c>
      <c r="AV5" s="16" t="s">
        <v>539</v>
      </c>
      <c r="AW5" s="16" t="s">
        <v>178</v>
      </c>
      <c r="AX5" s="16" t="s">
        <v>180</v>
      </c>
      <c r="AY5" s="16" t="s">
        <v>216</v>
      </c>
      <c r="AZ5" s="16" t="s">
        <v>424</v>
      </c>
      <c r="BA5" s="16" t="s">
        <v>157</v>
      </c>
      <c r="BB5" s="56"/>
      <c r="BC5" s="24" t="s">
        <v>169</v>
      </c>
      <c r="BD5" s="24" t="s">
        <v>544</v>
      </c>
      <c r="BE5" s="23" t="s">
        <v>170</v>
      </c>
      <c r="BF5" s="24" t="s">
        <v>180</v>
      </c>
      <c r="BG5" s="24" t="s">
        <v>178</v>
      </c>
      <c r="BH5" s="24" t="s">
        <v>216</v>
      </c>
      <c r="BI5" s="24" t="s">
        <v>536</v>
      </c>
      <c r="BJ5" s="31" t="s">
        <v>535</v>
      </c>
      <c r="BK5" s="32" t="s">
        <v>154</v>
      </c>
      <c r="BL5" s="33" t="s">
        <v>436</v>
      </c>
      <c r="BM5" s="33" t="s">
        <v>208</v>
      </c>
      <c r="BN5" s="33" t="s">
        <v>424</v>
      </c>
      <c r="BO5" s="34"/>
      <c r="BR5" s="50" t="s">
        <v>175</v>
      </c>
      <c r="BS5" s="50" t="s">
        <v>202</v>
      </c>
      <c r="BT5" s="50" t="s">
        <v>203</v>
      </c>
    </row>
    <row r="6" spans="2:75" s="351" customFormat="1" x14ac:dyDescent="0.2">
      <c r="C6" s="352"/>
      <c r="D6" s="353"/>
      <c r="E6" s="353"/>
      <c r="F6" s="352"/>
      <c r="G6" s="352"/>
      <c r="H6" s="354"/>
      <c r="I6" s="354"/>
      <c r="J6" s="354"/>
      <c r="K6" s="355"/>
      <c r="L6" s="355"/>
      <c r="M6" s="355"/>
      <c r="N6" s="355"/>
      <c r="O6" s="355"/>
      <c r="Q6" s="355"/>
      <c r="R6" s="355"/>
      <c r="T6" s="355"/>
      <c r="U6" s="355"/>
      <c r="V6" s="355"/>
      <c r="W6" s="355"/>
      <c r="X6" s="355"/>
      <c r="Y6" s="354"/>
      <c r="Z6" s="355"/>
      <c r="AA6" s="355"/>
      <c r="AB6" s="355"/>
      <c r="AC6" s="355"/>
      <c r="AD6" s="355"/>
      <c r="AE6" s="354"/>
      <c r="AF6" s="355"/>
      <c r="AG6" s="355"/>
      <c r="AH6" s="354"/>
      <c r="AI6" s="354"/>
      <c r="AJ6" s="355"/>
      <c r="AK6" s="355"/>
      <c r="AL6" s="355"/>
      <c r="AM6" s="354"/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6"/>
      <c r="BC6" s="354"/>
      <c r="BD6" s="354"/>
      <c r="BE6" s="355"/>
      <c r="BF6" s="354"/>
      <c r="BG6" s="354"/>
      <c r="BH6" s="354"/>
      <c r="BI6" s="354"/>
      <c r="BJ6" s="357"/>
      <c r="BK6" s="358"/>
      <c r="BL6" s="359"/>
      <c r="BM6" s="359"/>
      <c r="BN6" s="359"/>
      <c r="BO6" s="359"/>
      <c r="BR6" s="360"/>
      <c r="BS6" s="360"/>
      <c r="BT6" s="360"/>
    </row>
    <row r="7" spans="2:75" ht="15" customHeight="1" x14ac:dyDescent="0.25">
      <c r="C7" s="6">
        <v>1</v>
      </c>
      <c r="D7" s="361">
        <v>42917</v>
      </c>
      <c r="E7" s="361" t="s">
        <v>41</v>
      </c>
      <c r="F7" s="6" t="str">
        <f>MID(E7,6,3)</f>
        <v>895</v>
      </c>
      <c r="G7" s="6" t="str">
        <f>VLOOKUP(E7,'Retail Rates'!$B$7:$D$34,3,FALSE)</f>
        <v>FT-C</v>
      </c>
      <c r="H7" s="25">
        <f>SUMIF('Forcasted Customer Cts'!$D$5:$D$36,'Jul17-Jun18 Transport'!$E7,'Forcasted Customer Cts'!$P$5:$P$36)</f>
        <v>73</v>
      </c>
      <c r="I7" s="25"/>
      <c r="J7" s="25"/>
      <c r="K7" s="25">
        <f>SUMIF('Forecasted Calendar Month Usage'!$D$5:$D$41,'Jul17-Jun18 Transport'!$E7,'Forecasted Calendar Month Usage'!$X$5:$X$41)*10</f>
        <v>6939298.0831465786</v>
      </c>
      <c r="L7" s="25"/>
      <c r="M7" s="25">
        <v>69</v>
      </c>
      <c r="N7" s="25"/>
      <c r="O7" s="26">
        <f>VLOOKUP($E7,'Retail Rates'!$B$7:$L$34,5,FALSE)</f>
        <v>0</v>
      </c>
      <c r="P7" s="26">
        <f>VLOOKUP($E7,'Retail Rates'!$B$7:$L$34,6,FALSE)</f>
        <v>0</v>
      </c>
      <c r="Q7" s="26">
        <f>VLOOKUP($E7,'Retail Rates'!$B$7:$L$34,9,FALSE)</f>
        <v>550</v>
      </c>
      <c r="R7" s="27">
        <f>VLOOKUP($E7,'Retail Rates'!$B$7:$L$34,7,FALSE)</f>
        <v>4.3020000000000003E-2</v>
      </c>
      <c r="S7" s="27">
        <f>VLOOKUP($E7,'Retail Rates'!$B$7:$L$34,8,FALSE)</f>
        <v>0</v>
      </c>
      <c r="T7" s="309">
        <v>75</v>
      </c>
      <c r="U7" s="26">
        <f>VLOOKUP($E7,'Retail Rates'!$B$7:$L$34,11,FALSE)</f>
        <v>0</v>
      </c>
      <c r="V7" s="27">
        <v>0</v>
      </c>
      <c r="W7" s="309"/>
      <c r="X7" s="28">
        <f t="shared" ref="X7:X12" si="2">(+H7*O7)+(I7*O7)</f>
        <v>0</v>
      </c>
      <c r="Y7" s="28">
        <f>J7*P7</f>
        <v>0</v>
      </c>
      <c r="Z7" s="28">
        <f>H7*Q7</f>
        <v>40150</v>
      </c>
      <c r="AA7" s="28">
        <f t="shared" ref="AA7:AA12" si="3">+K7*R7</f>
        <v>298528.60353696585</v>
      </c>
      <c r="AB7" s="28">
        <f>+L7*S7</f>
        <v>0</v>
      </c>
      <c r="AC7" s="28">
        <f>M7*T7</f>
        <v>5175</v>
      </c>
      <c r="AD7" s="28">
        <f>H7*V7</f>
        <v>0</v>
      </c>
      <c r="AE7" s="28"/>
      <c r="AF7" s="28">
        <f t="shared" ref="AF7:AF11" si="4">N7*U7</f>
        <v>0</v>
      </c>
      <c r="AG7" s="28"/>
      <c r="AH7" s="48">
        <f ca="1">SUMIFS(Adjustments!H$5:H$557,Adjustments!$B$5:$B$557,'Jul17-Jun18 Retail'!$D7,Adjustments!$C$5:$C$557,'Jul17-Jun18 Retail'!$E7)</f>
        <v>0</v>
      </c>
      <c r="AI7" s="48">
        <f ca="1">SUMIFS(Adjustments!I$5:I$557,Adjustments!$B$5:$B$557,'Jul17-Jun18 Retail'!$D7,Adjustments!$C$5:$C$557,'Jul17-Jun18 Retail'!$E7)</f>
        <v>0</v>
      </c>
      <c r="AJ7" s="40">
        <f ca="1">SUMIFS(Adjustments!J$5:J$557,Adjustments!$B$5:$B$557,'Jul17-Jun18 Retail'!$D7,Adjustments!$C$5:$C$557,'Jul17-Jun18 Retail'!$E7)</f>
        <v>0</v>
      </c>
      <c r="AK7" s="40">
        <f ca="1">SUMIFS(Adjustments!K$5:K$557,Adjustments!$B$5:$B$557,'Jul17-Jun18 Retail'!$D7,Adjustments!$C$5:$C$557,'Jul17-Jun18 Retail'!$E7)</f>
        <v>0</v>
      </c>
      <c r="AL7" s="40">
        <f ca="1">SUMIFS(Adjustments!L$5:L$557,Adjustments!$B$5:$B$557,'Jul17-Jun18 Retail'!$D7,Adjustments!$C$5:$C$557,'Jul17-Jun18 Retail'!$E7)</f>
        <v>0</v>
      </c>
      <c r="AM7" s="40">
        <f ca="1">SUMIFS(Adjustments!M$5:M$557,Adjustments!$B$5:$B$557,'Jul17-Jun18 Retail'!$D7,Adjustments!$C$5:$C$557,'Jul17-Jun18 Retail'!$E7)</f>
        <v>0</v>
      </c>
      <c r="AN7" s="40">
        <f ca="1">SUMIFS(Adjustments!N$5:N$557,Adjustments!$B$5:$B$557,'Jul17-Jun18 Retail'!$D7,Adjustments!$C$5:$C$557,'Jul17-Jun18 Retail'!$E7)</f>
        <v>0</v>
      </c>
      <c r="AO7" s="40">
        <f ca="1">SUMIFS(Adjustments!O$5:O$557,Adjustments!$B$5:$B$557,'Jul17-Jun18 Retail'!$D7,Adjustments!$C$5:$C$557,'Jul17-Jun18 Retail'!$E7)</f>
        <v>0</v>
      </c>
      <c r="AP7" s="40">
        <f ca="1">SUMIFS(Adjustments!P$5:P$557,Adjustments!$B$5:$B$557,'Jul17-Jun18 Retail'!$D7,Adjustments!$C$5:$C$557,'Jul17-Jun18 Retail'!$E7)</f>
        <v>0</v>
      </c>
      <c r="AQ7" s="28">
        <f t="shared" ref="AQ7" ca="1" si="5">+X7+AJ7+(AH7*O7)</f>
        <v>0</v>
      </c>
      <c r="AR7" s="28">
        <f ca="1">+Y7+AK7</f>
        <v>0</v>
      </c>
      <c r="AS7" s="28">
        <f t="shared" ref="AS7:AT7" ca="1" si="6">+AA7+AL7</f>
        <v>298528.60353696585</v>
      </c>
      <c r="AT7" s="28">
        <f t="shared" ca="1" si="6"/>
        <v>0</v>
      </c>
      <c r="AU7" s="28">
        <f>Z7</f>
        <v>40150</v>
      </c>
      <c r="AV7" s="28">
        <f>AC7</f>
        <v>5175</v>
      </c>
      <c r="AW7" s="35">
        <f>BG7</f>
        <v>0</v>
      </c>
      <c r="AX7" s="35">
        <f>BF7</f>
        <v>171334.82629852701</v>
      </c>
      <c r="AY7" s="35">
        <f>BH7</f>
        <v>0</v>
      </c>
      <c r="AZ7" s="35">
        <f t="shared" ref="AZ7:AZ12" si="7">BN7</f>
        <v>0</v>
      </c>
      <c r="BA7" s="28">
        <f t="shared" ref="BA7:BA12" ca="1" si="8">+AF7+AP7</f>
        <v>0</v>
      </c>
      <c r="BB7" s="28"/>
      <c r="BC7" s="35">
        <f t="shared" ref="BC7:BC12" ca="1" si="9">ROUND(SUM(AQ7:BB7),2)</f>
        <v>515188.43</v>
      </c>
      <c r="BD7" s="35">
        <f>SUM(BF7:BN7)</f>
        <v>515188.42982561619</v>
      </c>
      <c r="BE7" s="36">
        <f t="shared" ref="BE7:BE12" ca="1" si="10">IF(BD7=0,0,ROUND(BD7/BC7,6))</f>
        <v>1</v>
      </c>
      <c r="BF7" s="35">
        <f>SUMIFS('Fin Forecast'!$K$3:$K$600,'Fin Forecast'!$B$3:$B$600,'Jul17-Jun18 Transport'!$E7,'Fin Forecast'!$C$3:$C$600,'Jul17-Jun18 Transport'!$BF$5)*1000</f>
        <v>171334.82629852701</v>
      </c>
      <c r="BG7" s="35">
        <f>SUMIFS('Fin Forecast'!$K$3:$K$600,'Fin Forecast'!$B$3:$B$600,'Jul17-Jun18 Transport'!$E7,'Fin Forecast'!$C$3:$C$600,'Jul17-Jun18 Transport'!$BG$5)*1000</f>
        <v>0</v>
      </c>
      <c r="BH7" s="35"/>
      <c r="BI7" s="35">
        <f>SUMIFS('Fin Forecast'!$K$3:$K$600,'Fin Forecast'!$B$3:$B$600,'Jul17-Jun18 Transport'!$E7,'Fin Forecast'!$C$3:$C$600,'Jul17-Jun18 Transport'!$BI$5)*1000</f>
        <v>5175</v>
      </c>
      <c r="BJ7" s="35">
        <f>SUMIFS('Fin Forecast'!$K$3:$K$600,'Fin Forecast'!$B$3:$B$600,'Jul17-Jun18 Transport'!$E7,'Fin Forecast'!$C$3:$C$600,'Jul17-Jun18 Transport'!$BJ$5)*1000</f>
        <v>40150</v>
      </c>
      <c r="BK7" s="35">
        <f>SUMIFS('Fin Forecast'!$K$3:$K$600,'Fin Forecast'!$B$3:$B$600,'Jul17-Jun18 Transport'!$E7,'Fin Forecast'!$C$3:$C$600,'Jul17-Jun18 Transport'!$BK$5)*1000</f>
        <v>0</v>
      </c>
      <c r="BL7" s="35">
        <f>SUMIFS('Fin Forecast'!$K$3:$K$600,'Fin Forecast'!$B$3:$B$600,'Jul17-Jun18 Transport'!$E7,'Fin Forecast'!$C$3:$C$600,'Jul17-Jun18 Transport'!$BL$5)*1000</f>
        <v>298528.60352708917</v>
      </c>
      <c r="BM7" s="35">
        <f>SUMIFS('Fin Forecast'!$K$3:$K$600,'Fin Forecast'!$B$3:$B$600,'Jul17-Jun18 Transport'!$E7,'Fin Forecast'!$C$3:$C$600,'Jul17-Jun18 Transport'!$BM$5)*1000</f>
        <v>0</v>
      </c>
      <c r="BN7" s="35">
        <f>SUMIFS('Fin Forecast'!$K$3:$K$600,'Fin Forecast'!$B$3:$B$600,'Jul17-Jun18 Transport'!$E7,'Fin Forecast'!$C$3:$C$600,'Jul17-Jun18 Transport'!$BN$5)*1000</f>
        <v>0</v>
      </c>
      <c r="BP7" s="44">
        <f t="shared" ref="BP7:BP12" ca="1" si="11">+BC7-BD7</f>
        <v>1.7438380746170878E-4</v>
      </c>
      <c r="BR7" s="49">
        <f>BJ7-AU7</f>
        <v>0</v>
      </c>
      <c r="BS7" s="49">
        <f t="shared" ref="BS7:BS12" ca="1" si="12">+AS7+AT7-BL7</f>
        <v>9.8766759037971497E-6</v>
      </c>
      <c r="BT7" s="49">
        <f t="shared" ref="BT7:BT12" si="13">+AW7-BG7</f>
        <v>0</v>
      </c>
      <c r="BU7" s="418"/>
    </row>
    <row r="8" spans="2:75" ht="15" customHeight="1" x14ac:dyDescent="0.25">
      <c r="C8" s="6">
        <f>C7+1</f>
        <v>2</v>
      </c>
      <c r="D8" s="361">
        <f>$D$7</f>
        <v>42917</v>
      </c>
      <c r="E8" s="361" t="s">
        <v>43</v>
      </c>
      <c r="F8" s="6" t="str">
        <f t="shared" ref="F8:F12" si="14">MID(E8,6,3)</f>
        <v>896</v>
      </c>
      <c r="G8" s="6" t="str">
        <f>VLOOKUP(E8,'Retail Rates'!$B$7:$D$34,3,FALSE)</f>
        <v>FT-I</v>
      </c>
      <c r="H8" s="25">
        <f>SUMIF('Forcasted Customer Cts'!$D$5:$D$36,'Jul17-Jun18 Transport'!$E8,'Forcasted Customer Cts'!$P$5:$P$36)</f>
        <v>0</v>
      </c>
      <c r="I8" s="25"/>
      <c r="J8" s="25"/>
      <c r="K8" s="25">
        <f>SUMIF('Forecasted Calendar Month Usage'!$D$5:$D$41,'Jul17-Jun18 Transport'!$E8,'Forecasted Calendar Month Usage'!$X$5:$X$41)*10</f>
        <v>0</v>
      </c>
      <c r="L8" s="25"/>
      <c r="M8" s="25"/>
      <c r="N8" s="25"/>
      <c r="O8" s="26">
        <f>VLOOKUP($E8,'Retail Rates'!$B$7:$L$34,5,FALSE)</f>
        <v>0</v>
      </c>
      <c r="P8" s="26">
        <f>VLOOKUP($E8,'Retail Rates'!$B$7:$L$34,6,FALSE)</f>
        <v>0</v>
      </c>
      <c r="Q8" s="26">
        <f>VLOOKUP($E8,'Retail Rates'!$B$7:$L$34,9,FALSE)</f>
        <v>550</v>
      </c>
      <c r="R8" s="27">
        <f>VLOOKUP($E8,'Retail Rates'!$B$7:$L$34,7,FALSE)</f>
        <v>4.3020000000000003E-2</v>
      </c>
      <c r="S8" s="27">
        <f>VLOOKUP($E8,'Retail Rates'!$B$7:$L$34,8,FALSE)</f>
        <v>0</v>
      </c>
      <c r="T8" s="309">
        <v>75</v>
      </c>
      <c r="U8" s="26">
        <f>VLOOKUP($E8,'Retail Rates'!$B$7:$L$34,11,FALSE)</f>
        <v>0</v>
      </c>
      <c r="V8" s="27">
        <v>0</v>
      </c>
      <c r="W8" s="309"/>
      <c r="X8" s="28">
        <f t="shared" si="2"/>
        <v>0</v>
      </c>
      <c r="Y8" s="28">
        <f t="shared" ref="Y8:Y12" si="15">J8*P8</f>
        <v>0</v>
      </c>
      <c r="Z8" s="28">
        <f>H8*Q8</f>
        <v>0</v>
      </c>
      <c r="AA8" s="28">
        <f t="shared" si="3"/>
        <v>0</v>
      </c>
      <c r="AB8" s="28">
        <f t="shared" ref="AB8:AB12" si="16">+L8*S8</f>
        <v>0</v>
      </c>
      <c r="AC8" s="28">
        <f t="shared" ref="AC8:AC12" si="17">M8*T8</f>
        <v>0</v>
      </c>
      <c r="AD8" s="28">
        <f t="shared" ref="AD8:AD12" si="18">H8*V8</f>
        <v>0</v>
      </c>
      <c r="AE8" s="28"/>
      <c r="AF8" s="28">
        <f t="shared" si="4"/>
        <v>0</v>
      </c>
      <c r="AG8" s="28"/>
      <c r="AH8" s="48">
        <f ca="1">SUMIFS(Adjustments!H$5:H$557,Adjustments!$B$5:$B$557,'Jul17-Jun18 Retail'!$D8,Adjustments!$C$5:$C$557,'Jul17-Jun18 Retail'!$E8)</f>
        <v>0</v>
      </c>
      <c r="AI8" s="48">
        <f ca="1">SUMIFS(Adjustments!I$5:I$557,Adjustments!$B$5:$B$557,'Jul17-Jun18 Retail'!$D8,Adjustments!$C$5:$C$557,'Jul17-Jun18 Retail'!$E8)</f>
        <v>0</v>
      </c>
      <c r="AJ8" s="40">
        <f ca="1">SUMIFS(Adjustments!J$5:J$557,Adjustments!$B$5:$B$557,'Jul17-Jun18 Retail'!$D8,Adjustments!$C$5:$C$557,'Jul17-Jun18 Retail'!$E8)</f>
        <v>0</v>
      </c>
      <c r="AK8" s="40">
        <f ca="1">SUMIFS(Adjustments!K$5:K$557,Adjustments!$B$5:$B$557,'Jul17-Jun18 Retail'!$D8,Adjustments!$C$5:$C$557,'Jul17-Jun18 Retail'!$E8)</f>
        <v>0</v>
      </c>
      <c r="AL8" s="40">
        <f ca="1">SUMIFS(Adjustments!L$5:L$557,Adjustments!$B$5:$B$557,'Jul17-Jun18 Retail'!$D8,Adjustments!$C$5:$C$557,'Jul17-Jun18 Retail'!$E8)</f>
        <v>0</v>
      </c>
      <c r="AM8" s="40">
        <f ca="1">SUMIFS(Adjustments!M$5:M$557,Adjustments!$B$5:$B$557,'Jul17-Jun18 Retail'!$D8,Adjustments!$C$5:$C$557,'Jul17-Jun18 Retail'!$E8)</f>
        <v>0</v>
      </c>
      <c r="AN8" s="40">
        <f ca="1">SUMIFS(Adjustments!N$5:N$557,Adjustments!$B$5:$B$557,'Jul17-Jun18 Retail'!$D8,Adjustments!$C$5:$C$557,'Jul17-Jun18 Retail'!$E8)</f>
        <v>0</v>
      </c>
      <c r="AO8" s="40">
        <f ca="1">SUMIFS(Adjustments!O$5:O$557,Adjustments!$B$5:$B$557,'Jul17-Jun18 Retail'!$D8,Adjustments!$C$5:$C$557,'Jul17-Jun18 Retail'!$E8)</f>
        <v>0</v>
      </c>
      <c r="AP8" s="40">
        <f ca="1">SUMIFS(Adjustments!P$5:P$557,Adjustments!$B$5:$B$557,'Jul17-Jun18 Retail'!$D8,Adjustments!$C$5:$C$557,'Jul17-Jun18 Retail'!$E8)</f>
        <v>0</v>
      </c>
      <c r="AQ8" s="28">
        <f t="shared" ref="AQ8:AQ12" ca="1" si="19">+X8+AJ8+(AH8*O8)</f>
        <v>0</v>
      </c>
      <c r="AR8" s="28">
        <f t="shared" ref="AR8:AR12" ca="1" si="20">+Y8+AK8</f>
        <v>0</v>
      </c>
      <c r="AS8" s="28">
        <f t="shared" ref="AS8:AS12" ca="1" si="21">+AA8+AL8</f>
        <v>0</v>
      </c>
      <c r="AT8" s="28">
        <f t="shared" ref="AT8:AT12" ca="1" si="22">+AB8+AM8</f>
        <v>0</v>
      </c>
      <c r="AU8" s="28">
        <f t="shared" ref="AU8:AU12" si="23">Z8</f>
        <v>0</v>
      </c>
      <c r="AV8" s="28">
        <f t="shared" ref="AV8:AV12" si="24">AC8</f>
        <v>0</v>
      </c>
      <c r="AW8" s="35">
        <f t="shared" ref="AW8:AW12" si="25">BG8</f>
        <v>0</v>
      </c>
      <c r="AX8" s="35">
        <f t="shared" ref="AX8:AX12" si="26">BF8</f>
        <v>0</v>
      </c>
      <c r="AY8" s="35">
        <f t="shared" ref="AY8:AY12" si="27">BH8</f>
        <v>0</v>
      </c>
      <c r="AZ8" s="35">
        <f t="shared" si="7"/>
        <v>0</v>
      </c>
      <c r="BA8" s="28">
        <f t="shared" ca="1" si="8"/>
        <v>0</v>
      </c>
      <c r="BB8" s="28"/>
      <c r="BC8" s="35">
        <f t="shared" ca="1" si="9"/>
        <v>0</v>
      </c>
      <c r="BD8" s="35">
        <f t="shared" ref="BD8:BD12" si="28">SUM(BF8:BN8)</f>
        <v>0</v>
      </c>
      <c r="BE8" s="36">
        <f t="shared" si="10"/>
        <v>0</v>
      </c>
      <c r="BF8" s="35">
        <f>SUMIFS('Fin Forecast'!$K$3:$K$600,'Fin Forecast'!$B$3:$B$600,'Jul17-Jun18 Transport'!$E8,'Fin Forecast'!$C$3:$C$600,'Jul17-Jun18 Transport'!$BF$5)*1000</f>
        <v>0</v>
      </c>
      <c r="BG8" s="35">
        <f>SUMIFS('Fin Forecast'!$K$3:$K$600,'Fin Forecast'!$B$3:$B$600,'Jul17-Jun18 Transport'!$E8,'Fin Forecast'!$C$3:$C$600,'Jul17-Jun18 Transport'!$BG$5)*1000</f>
        <v>0</v>
      </c>
      <c r="BH8" s="35"/>
      <c r="BI8" s="35">
        <f>SUMIFS('Fin Forecast'!$K$3:$K$600,'Fin Forecast'!$B$3:$B$600,'Jul17-Jun18 Transport'!$E8,'Fin Forecast'!$C$3:$C$600,'Jul17-Jun18 Transport'!$BI$5)*1000</f>
        <v>0</v>
      </c>
      <c r="BJ8" s="35">
        <f>SUMIFS('Fin Forecast'!$K$3:$K$600,'Fin Forecast'!$B$3:$B$600,'Jul17-Jun18 Transport'!$E8,'Fin Forecast'!$C$3:$C$600,'Jul17-Jun18 Transport'!$BJ$5)*1000</f>
        <v>0</v>
      </c>
      <c r="BK8" s="35">
        <f>SUMIFS('Fin Forecast'!$K$3:$K$600,'Fin Forecast'!$B$3:$B$600,'Jul17-Jun18 Transport'!$E8,'Fin Forecast'!$C$3:$C$600,'Jul17-Jun18 Transport'!$BK$5)*1000</f>
        <v>0</v>
      </c>
      <c r="BL8" s="35">
        <f>SUMIFS('Fin Forecast'!$K$3:$K$600,'Fin Forecast'!$B$3:$B$600,'Jul17-Jun18 Transport'!$E8,'Fin Forecast'!$C$3:$C$600,'Jul17-Jun18 Transport'!$BL$5)*1000</f>
        <v>0</v>
      </c>
      <c r="BM8" s="35">
        <f>SUMIFS('Fin Forecast'!$K$3:$K$600,'Fin Forecast'!$B$3:$B$600,'Jul17-Jun18 Transport'!$E8,'Fin Forecast'!$C$3:$C$600,'Jul17-Jun18 Transport'!$BM$5)*1000</f>
        <v>0</v>
      </c>
      <c r="BN8" s="35">
        <f>SUMIFS('Fin Forecast'!$K$3:$K$600,'Fin Forecast'!$B$3:$B$600,'Jul17-Jun18 Transport'!$E8,'Fin Forecast'!$C$3:$C$600,'Jul17-Jun18 Transport'!$BN$5)*1000</f>
        <v>0</v>
      </c>
      <c r="BP8" s="44">
        <f t="shared" ca="1" si="11"/>
        <v>0</v>
      </c>
      <c r="BR8" s="49">
        <f t="shared" ref="BR8:BR12" ca="1" si="29">+AQ8+AR8-BK8</f>
        <v>0</v>
      </c>
      <c r="BS8" s="49">
        <f t="shared" ca="1" si="12"/>
        <v>0</v>
      </c>
      <c r="BT8" s="49">
        <f t="shared" si="13"/>
        <v>0</v>
      </c>
      <c r="BU8" s="418"/>
    </row>
    <row r="9" spans="2:75" ht="15" x14ac:dyDescent="0.25">
      <c r="B9" s="13" t="s">
        <v>444</v>
      </c>
      <c r="C9" s="6">
        <f t="shared" ref="C9:C11" si="30">C8+1</f>
        <v>3</v>
      </c>
      <c r="D9" s="361">
        <f t="shared" ref="D9:D12" si="31">$D$7</f>
        <v>42917</v>
      </c>
      <c r="E9" s="361" t="s">
        <v>31</v>
      </c>
      <c r="F9" s="6" t="str">
        <f t="shared" si="14"/>
        <v>882</v>
      </c>
      <c r="G9" s="6" t="str">
        <f>VLOOKUP(E9,'Retail Rates'!$B$7:$D$34,3,FALSE)</f>
        <v>IGS-TS-2</v>
      </c>
      <c r="H9" s="25"/>
      <c r="I9" s="25"/>
      <c r="J9" s="25">
        <f>SUMIFS('Forcasted Customer Cts'!$P$5:$P$36,'Forcasted Customer Cts'!$D$5:$D$36,$E9,'Forcasted Customer Cts'!$C$5:$C$36,$B9)</f>
        <v>5</v>
      </c>
      <c r="K9" s="25">
        <v>5000</v>
      </c>
      <c r="L9" s="25">
        <f>(SUMIF('Forecasted Calendar Month Usage'!$D$5:$D$41,'Jul17-Jun18 Transport'!$E9,'Forecasted Calendar Month Usage'!$X$5:$X$41)*10)-K9</f>
        <v>425621.29308951268</v>
      </c>
      <c r="M9" s="25">
        <v>2</v>
      </c>
      <c r="N9" s="25"/>
      <c r="O9" s="26">
        <f>VLOOKUP($E9,'Retail Rates'!$B$7:$L$34,5,FALSE)</f>
        <v>40</v>
      </c>
      <c r="P9" s="26">
        <f>VLOOKUP($E9,'Retail Rates'!$B$7:$L$34,6,FALSE)</f>
        <v>180</v>
      </c>
      <c r="Q9" s="26">
        <f>VLOOKUP($E9,'Retail Rates'!$B$7:$L$34,9,FALSE)</f>
        <v>550</v>
      </c>
      <c r="R9" s="27">
        <f>VLOOKUP($E9,'Retail Rates'!$B$7:$L$34,7,FALSE)</f>
        <v>0.22778999999999999</v>
      </c>
      <c r="S9" s="27">
        <f>VLOOKUP($E9,'Retail Rates'!$B$7:$L$34,8,FALSE)</f>
        <v>0.17779</v>
      </c>
      <c r="T9" s="309">
        <v>75</v>
      </c>
      <c r="U9" s="26">
        <f>VLOOKUP($E9,'Retail Rates'!$B$7:$L$34,11,FALSE)</f>
        <v>0</v>
      </c>
      <c r="V9" s="309"/>
      <c r="W9" s="309"/>
      <c r="X9" s="28">
        <f>(+H9*O9)+(I9*O9)</f>
        <v>0</v>
      </c>
      <c r="Y9" s="28">
        <f t="shared" si="15"/>
        <v>900</v>
      </c>
      <c r="Z9" s="28">
        <f>(I9+J9)*Q9</f>
        <v>2750</v>
      </c>
      <c r="AA9" s="28">
        <f t="shared" si="3"/>
        <v>1138.95</v>
      </c>
      <c r="AB9" s="28">
        <f t="shared" si="16"/>
        <v>75671.209698384468</v>
      </c>
      <c r="AC9" s="28">
        <f t="shared" si="17"/>
        <v>150</v>
      </c>
      <c r="AD9" s="28">
        <f>(I9+J9)*V9</f>
        <v>0</v>
      </c>
      <c r="AE9" s="28"/>
      <c r="AF9" s="28">
        <f t="shared" si="4"/>
        <v>0</v>
      </c>
      <c r="AG9" s="28"/>
      <c r="AH9" s="48">
        <f ca="1">SUMIFS(Adjustments!H$5:H$557,Adjustments!$B$5:$B$557,'Jul17-Jun18 Retail'!$D9,Adjustments!$C$5:$C$557,'Jul17-Jun18 Retail'!$E9)</f>
        <v>0</v>
      </c>
      <c r="AI9" s="48">
        <f ca="1">SUMIFS(Adjustments!I$5:I$557,Adjustments!$B$5:$B$557,'Jul17-Jun18 Retail'!$D9,Adjustments!$C$5:$C$557,'Jul17-Jun18 Retail'!$E9)</f>
        <v>0</v>
      </c>
      <c r="AJ9" s="40">
        <f ca="1">SUMIFS(Adjustments!J$5:J$557,Adjustments!$B$5:$B$557,'Jul17-Jun18 Retail'!$D9,Adjustments!$C$5:$C$557,'Jul17-Jun18 Retail'!$E9)</f>
        <v>0</v>
      </c>
      <c r="AK9" s="40">
        <f ca="1">SUMIFS(Adjustments!K$5:K$557,Adjustments!$B$5:$B$557,'Jul17-Jun18 Retail'!$D9,Adjustments!$C$5:$C$557,'Jul17-Jun18 Retail'!$E9)</f>
        <v>0</v>
      </c>
      <c r="AL9" s="40">
        <f ca="1">SUMIFS(Adjustments!L$5:L$557,Adjustments!$B$5:$B$557,'Jul17-Jun18 Retail'!$D9,Adjustments!$C$5:$C$557,'Jul17-Jun18 Retail'!$E9)</f>
        <v>0</v>
      </c>
      <c r="AM9" s="40">
        <f ca="1">SUMIFS(Adjustments!M$5:M$557,Adjustments!$B$5:$B$557,'Jul17-Jun18 Retail'!$D9,Adjustments!$C$5:$C$557,'Jul17-Jun18 Retail'!$E9)</f>
        <v>0</v>
      </c>
      <c r="AN9" s="40">
        <f ca="1">SUMIFS(Adjustments!N$5:N$557,Adjustments!$B$5:$B$557,'Jul17-Jun18 Retail'!$D9,Adjustments!$C$5:$C$557,'Jul17-Jun18 Retail'!$E9)</f>
        <v>0</v>
      </c>
      <c r="AO9" s="40">
        <f ca="1">SUMIFS(Adjustments!O$5:O$557,Adjustments!$B$5:$B$557,'Jul17-Jun18 Retail'!$D9,Adjustments!$C$5:$C$557,'Jul17-Jun18 Retail'!$E9)</f>
        <v>0</v>
      </c>
      <c r="AP9" s="40">
        <f ca="1">SUMIFS(Adjustments!P$5:P$557,Adjustments!$B$5:$B$557,'Jul17-Jun18 Retail'!$D9,Adjustments!$C$5:$C$557,'Jul17-Jun18 Retail'!$E9)</f>
        <v>0</v>
      </c>
      <c r="AQ9" s="28">
        <f t="shared" ca="1" si="19"/>
        <v>0</v>
      </c>
      <c r="AR9" s="28">
        <f t="shared" ca="1" si="20"/>
        <v>900</v>
      </c>
      <c r="AS9" s="28">
        <f t="shared" ca="1" si="21"/>
        <v>1138.95</v>
      </c>
      <c r="AT9" s="28">
        <f t="shared" ca="1" si="22"/>
        <v>75671.209698384468</v>
      </c>
      <c r="AU9" s="28">
        <f t="shared" si="23"/>
        <v>2750</v>
      </c>
      <c r="AV9" s="28">
        <f t="shared" si="24"/>
        <v>150</v>
      </c>
      <c r="AW9" s="35">
        <f t="shared" si="25"/>
        <v>0</v>
      </c>
      <c r="AX9" s="35">
        <f t="shared" si="26"/>
        <v>0</v>
      </c>
      <c r="AY9" s="35">
        <f t="shared" si="27"/>
        <v>0</v>
      </c>
      <c r="AZ9" s="35">
        <f t="shared" si="7"/>
        <v>10854.3823787697</v>
      </c>
      <c r="BA9" s="28">
        <f t="shared" ca="1" si="8"/>
        <v>0</v>
      </c>
      <c r="BB9" s="28"/>
      <c r="BC9" s="35">
        <f ca="1">ROUND(SUM(AQ9:BB9),2)</f>
        <v>91464.54</v>
      </c>
      <c r="BD9" s="35">
        <f t="shared" si="28"/>
        <v>91464.542077240796</v>
      </c>
      <c r="BE9" s="36">
        <f t="shared" ca="1" si="10"/>
        <v>1</v>
      </c>
      <c r="BF9" s="35">
        <f>SUMIFS('Fin Forecast'!$K$3:$K$600,'Fin Forecast'!$B$3:$B$600,'Jul17-Jun18 Transport'!$E9,'Fin Forecast'!$C$3:$C$600,'Jul17-Jun18 Transport'!$BF$5)*1000</f>
        <v>0</v>
      </c>
      <c r="BG9" s="35">
        <f>SUMIFS('Fin Forecast'!$K$3:$K$600,'Fin Forecast'!$B$3:$B$600,'Jul17-Jun18 Transport'!$E9,'Fin Forecast'!$C$3:$C$600,'Jul17-Jun18 Transport'!$BG$5)*1000</f>
        <v>0</v>
      </c>
      <c r="BH9" s="35"/>
      <c r="BI9" s="35">
        <f>SUMIFS('Fin Forecast'!$K$3:$K$600,'Fin Forecast'!$B$3:$B$600,'Jul17-Jun18 Transport'!$E9,'Fin Forecast'!$C$3:$C$600,'Jul17-Jun18 Transport'!$BI$5)*1000</f>
        <v>150</v>
      </c>
      <c r="BJ9" s="35">
        <f>SUMIFS('Fin Forecast'!$K$3:$K$600,'Fin Forecast'!$B$3:$B$600,'Jul17-Jun18 Transport'!$E9,'Fin Forecast'!$C$3:$C$600,'Jul17-Jun18 Transport'!$BJ$5)*1000</f>
        <v>2750</v>
      </c>
      <c r="BK9" s="35">
        <f>SUMIFS('Fin Forecast'!$K$3:$K$600,'Fin Forecast'!$B$3:$B$600,'Jul17-Jun18 Transport'!$E9,'Fin Forecast'!$C$3:$C$600,'Jul17-Jun18 Transport'!$BK$5)*1000</f>
        <v>900</v>
      </c>
      <c r="BL9" s="35">
        <f>SUMIFS('Fin Forecast'!$K$3:$K$600,'Fin Forecast'!$B$3:$B$600,'Jul17-Jun18 Transport'!$E9,'Fin Forecast'!$C$3:$C$600,'Jul17-Jun18 Transport'!$BL$5)*1000</f>
        <v>76810.159698471092</v>
      </c>
      <c r="BM9" s="35">
        <f>SUMIFS('Fin Forecast'!$K$3:$K$600,'Fin Forecast'!$B$3:$B$600,'Jul17-Jun18 Transport'!$E9,'Fin Forecast'!$C$3:$C$600,'Jul17-Jun18 Transport'!$BM$5)*1000</f>
        <v>0</v>
      </c>
      <c r="BN9" s="35">
        <f>SUMIFS('Fin Forecast'!$K$3:$K$600,'Fin Forecast'!$B$3:$B$600,'Jul17-Jun18 Transport'!$E9,'Fin Forecast'!$C$3:$C$600,'Jul17-Jun18 Transport'!$BN$5)*1000</f>
        <v>10854.3823787697</v>
      </c>
      <c r="BP9" s="44">
        <f t="shared" ca="1" si="11"/>
        <v>-2.0772408024640754E-3</v>
      </c>
      <c r="BR9" s="49">
        <f t="shared" ca="1" si="29"/>
        <v>0</v>
      </c>
      <c r="BS9" s="49">
        <f t="shared" ca="1" si="12"/>
        <v>-8.6627551354467869E-8</v>
      </c>
      <c r="BT9" s="49">
        <f t="shared" si="13"/>
        <v>0</v>
      </c>
      <c r="BU9" s="418"/>
      <c r="BV9"/>
      <c r="BW9"/>
    </row>
    <row r="10" spans="2:75" ht="15" x14ac:dyDescent="0.25">
      <c r="C10" s="6">
        <f t="shared" si="30"/>
        <v>4</v>
      </c>
      <c r="D10" s="361">
        <f t="shared" si="31"/>
        <v>42917</v>
      </c>
      <c r="E10" s="361" t="s">
        <v>87</v>
      </c>
      <c r="F10" s="6" t="str">
        <f t="shared" si="14"/>
        <v>892</v>
      </c>
      <c r="G10" s="6" t="str">
        <f>VLOOKUP(E10,'Retail Rates'!$B$7:$D$34,3,FALSE)</f>
        <v>AAGS-I-TS-2</v>
      </c>
      <c r="H10" s="25">
        <f>SUMIF('Forcasted Customer Cts'!$D$5:$D$36,'Jul17-Jun18 Transport'!$E10,'Forcasted Customer Cts'!$P$5:$P$36)</f>
        <v>2</v>
      </c>
      <c r="I10" s="25"/>
      <c r="J10" s="25"/>
      <c r="K10" s="25">
        <f>SUMIF('Forecasted Calendar Month Usage'!$D$5:$D$41,'Jul17-Jun18 Transport'!$E10,'Forecasted Calendar Month Usage'!$X$5:$X$41)*10</f>
        <v>132484.99890195444</v>
      </c>
      <c r="L10" s="25"/>
      <c r="M10" s="25"/>
      <c r="N10" s="25"/>
      <c r="O10" s="26">
        <f>VLOOKUP($E10,'Retail Rates'!$B$7:$L$34,5,FALSE)</f>
        <v>400</v>
      </c>
      <c r="P10" s="26">
        <f>VLOOKUP($E10,'Retail Rates'!$B$7:$L$34,6,FALSE)</f>
        <v>0</v>
      </c>
      <c r="Q10" s="26">
        <f>VLOOKUP($E10,'Retail Rates'!$B$7:$L$34,9,FALSE)</f>
        <v>550</v>
      </c>
      <c r="R10" s="27">
        <f>VLOOKUP($E10,'Retail Rates'!$B$7:$L$34,7,FALSE)</f>
        <v>7.009E-2</v>
      </c>
      <c r="S10" s="27">
        <f>VLOOKUP($E10,'Retail Rates'!$B$7:$L$34,8,FALSE)</f>
        <v>0</v>
      </c>
      <c r="T10" s="309">
        <v>75</v>
      </c>
      <c r="U10" s="26">
        <f>VLOOKUP($E10,'Retail Rates'!$B$7:$L$34,11,FALSE)</f>
        <v>0</v>
      </c>
      <c r="V10" s="309"/>
      <c r="W10" s="309"/>
      <c r="X10" s="28">
        <f t="shared" si="2"/>
        <v>800</v>
      </c>
      <c r="Y10" s="28">
        <f t="shared" si="15"/>
        <v>0</v>
      </c>
      <c r="Z10" s="28">
        <f t="shared" ref="Z10:Z12" si="32">H10*Q10</f>
        <v>1100</v>
      </c>
      <c r="AA10" s="28">
        <f t="shared" si="3"/>
        <v>9285.8735730379867</v>
      </c>
      <c r="AB10" s="28">
        <f t="shared" si="16"/>
        <v>0</v>
      </c>
      <c r="AC10" s="28">
        <f t="shared" si="17"/>
        <v>0</v>
      </c>
      <c r="AD10" s="28">
        <f t="shared" si="18"/>
        <v>0</v>
      </c>
      <c r="AE10" s="28"/>
      <c r="AF10" s="28">
        <f t="shared" si="4"/>
        <v>0</v>
      </c>
      <c r="AG10" s="28"/>
      <c r="AH10" s="48">
        <f ca="1">SUMIFS(Adjustments!H$5:H$557,Adjustments!$B$5:$B$557,'Jul17-Jun18 Retail'!#REF!,Adjustments!$C$5:$C$557,'Jul17-Jun18 Retail'!#REF!)</f>
        <v>0</v>
      </c>
      <c r="AI10" s="48">
        <f ca="1">SUMIFS(Adjustments!I$5:I$557,Adjustments!$B$5:$B$557,'Jul17-Jun18 Retail'!#REF!,Adjustments!$C$5:$C$557,'Jul17-Jun18 Retail'!#REF!)</f>
        <v>0</v>
      </c>
      <c r="AJ10" s="40">
        <f ca="1">SUMIFS(Adjustments!J$5:J$557,Adjustments!$B$5:$B$557,'Jul17-Jun18 Retail'!#REF!,Adjustments!$C$5:$C$557,'Jul17-Jun18 Retail'!#REF!)</f>
        <v>0</v>
      </c>
      <c r="AK10" s="40">
        <f ca="1">SUMIFS(Adjustments!K$5:K$557,Adjustments!$B$5:$B$557,'Jul17-Jun18 Retail'!#REF!,Adjustments!$C$5:$C$557,'Jul17-Jun18 Retail'!#REF!)</f>
        <v>0</v>
      </c>
      <c r="AL10" s="40">
        <f ca="1">SUMIFS(Adjustments!L$5:L$557,Adjustments!$B$5:$B$557,'Jul17-Jun18 Retail'!#REF!,Adjustments!$C$5:$C$557,'Jul17-Jun18 Retail'!#REF!)</f>
        <v>0</v>
      </c>
      <c r="AM10" s="40">
        <f ca="1">SUMIFS(Adjustments!M$5:M$557,Adjustments!$B$5:$B$557,'Jul17-Jun18 Retail'!#REF!,Adjustments!$C$5:$C$557,'Jul17-Jun18 Retail'!#REF!)</f>
        <v>0</v>
      </c>
      <c r="AN10" s="40">
        <f ca="1">SUMIFS(Adjustments!N$5:N$557,Adjustments!$B$5:$B$557,'Jul17-Jun18 Retail'!#REF!,Adjustments!$C$5:$C$557,'Jul17-Jun18 Retail'!#REF!)</f>
        <v>0</v>
      </c>
      <c r="AO10" s="40">
        <f ca="1">SUMIFS(Adjustments!O$5:O$557,Adjustments!$B$5:$B$557,'Jul17-Jun18 Retail'!#REF!,Adjustments!$C$5:$C$557,'Jul17-Jun18 Retail'!#REF!)</f>
        <v>0</v>
      </c>
      <c r="AP10" s="40">
        <f ca="1">SUMIFS(Adjustments!P$5:P$557,Adjustments!$B$5:$B$557,'Jul17-Jun18 Retail'!#REF!,Adjustments!$C$5:$C$557,'Jul17-Jun18 Retail'!#REF!)</f>
        <v>0</v>
      </c>
      <c r="AQ10" s="28">
        <f t="shared" ca="1" si="19"/>
        <v>800</v>
      </c>
      <c r="AR10" s="28">
        <f t="shared" ca="1" si="20"/>
        <v>0</v>
      </c>
      <c r="AS10" s="28">
        <f t="shared" ca="1" si="21"/>
        <v>9285.8735730379867</v>
      </c>
      <c r="AT10" s="28">
        <f t="shared" ca="1" si="22"/>
        <v>0</v>
      </c>
      <c r="AU10" s="28">
        <f t="shared" si="23"/>
        <v>1100</v>
      </c>
      <c r="AV10" s="28">
        <f t="shared" si="24"/>
        <v>0</v>
      </c>
      <c r="AW10" s="35">
        <f t="shared" si="25"/>
        <v>0</v>
      </c>
      <c r="AX10" s="35">
        <f t="shared" si="26"/>
        <v>0</v>
      </c>
      <c r="AY10" s="35">
        <f t="shared" si="27"/>
        <v>0</v>
      </c>
      <c r="AZ10" s="35">
        <f t="shared" si="7"/>
        <v>3455.2044194673203</v>
      </c>
      <c r="BA10" s="28">
        <f t="shared" ca="1" si="8"/>
        <v>0</v>
      </c>
      <c r="BB10" s="28"/>
      <c r="BC10" s="35">
        <f t="shared" ca="1" si="9"/>
        <v>14641.08</v>
      </c>
      <c r="BD10" s="35">
        <f t="shared" si="28"/>
        <v>14641.07799250527</v>
      </c>
      <c r="BE10" s="36">
        <f t="shared" ca="1" si="10"/>
        <v>1</v>
      </c>
      <c r="BF10" s="35">
        <f>SUMIFS('Fin Forecast'!$K$3:$K$600,'Fin Forecast'!$B$3:$B$600,'Jul17-Jun18 Transport'!$E10,'Fin Forecast'!$C$3:$C$600,'Jul17-Jun18 Transport'!$BF$5)*1000</f>
        <v>0</v>
      </c>
      <c r="BG10" s="35">
        <f>SUMIFS('Fin Forecast'!$K$3:$K$600,'Fin Forecast'!$B$3:$B$600,'Jul17-Jun18 Transport'!$E10,'Fin Forecast'!$C$3:$C$600,'Jul17-Jun18 Transport'!$BG$5)*1000</f>
        <v>0</v>
      </c>
      <c r="BH10" s="35"/>
      <c r="BI10" s="35">
        <f>SUMIFS('Fin Forecast'!$K$3:$K$600,'Fin Forecast'!$B$3:$B$600,'Jul17-Jun18 Transport'!$E10,'Fin Forecast'!$C$3:$C$600,'Jul17-Jun18 Transport'!$BI$5)*1000</f>
        <v>0</v>
      </c>
      <c r="BJ10" s="35">
        <f>SUMIFS('Fin Forecast'!$K$3:$K$600,'Fin Forecast'!$B$3:$B$600,'Jul17-Jun18 Transport'!$E10,'Fin Forecast'!$C$3:$C$600,'Jul17-Jun18 Transport'!$BJ$5)*1000</f>
        <v>1100</v>
      </c>
      <c r="BK10" s="35">
        <f>SUMIFS('Fin Forecast'!$K$3:$K$600,'Fin Forecast'!$B$3:$B$600,'Jul17-Jun18 Transport'!$E10,'Fin Forecast'!$C$3:$C$600,'Jul17-Jun18 Transport'!$BK$5)*1000</f>
        <v>800</v>
      </c>
      <c r="BL10" s="35">
        <f>SUMIFS('Fin Forecast'!$K$3:$K$600,'Fin Forecast'!$B$3:$B$600,'Jul17-Jun18 Transport'!$E10,'Fin Forecast'!$C$3:$C$600,'Jul17-Jun18 Transport'!$BL$5)*1000</f>
        <v>9285.8735730379503</v>
      </c>
      <c r="BM10" s="35">
        <f>SUMIFS('Fin Forecast'!$K$3:$K$600,'Fin Forecast'!$B$3:$B$600,'Jul17-Jun18 Transport'!$E10,'Fin Forecast'!$C$3:$C$600,'Jul17-Jun18 Transport'!$BM$5)*1000</f>
        <v>0</v>
      </c>
      <c r="BN10" s="35">
        <f>SUMIFS('Fin Forecast'!$K$3:$K$600,'Fin Forecast'!$B$3:$B$600,'Jul17-Jun18 Transport'!$E10,'Fin Forecast'!$C$3:$C$600,'Jul17-Jun18 Transport'!$BN$5)*1000</f>
        <v>3455.2044194673203</v>
      </c>
      <c r="BP10" s="44">
        <f t="shared" ca="1" si="11"/>
        <v>2.0074947296961909E-3</v>
      </c>
      <c r="BR10" s="49">
        <f t="shared" ca="1" si="29"/>
        <v>0</v>
      </c>
      <c r="BS10" s="49">
        <f t="shared" ca="1" si="12"/>
        <v>3.637978807091713E-11</v>
      </c>
      <c r="BT10" s="49">
        <f t="shared" si="13"/>
        <v>0</v>
      </c>
      <c r="BU10"/>
      <c r="BV10"/>
      <c r="BW10"/>
    </row>
    <row r="11" spans="2:75" ht="15" customHeight="1" x14ac:dyDescent="0.25">
      <c r="C11" s="6">
        <f t="shared" si="30"/>
        <v>5</v>
      </c>
      <c r="D11" s="361">
        <f t="shared" si="31"/>
        <v>42917</v>
      </c>
      <c r="E11" s="361" t="s">
        <v>51</v>
      </c>
      <c r="F11" s="6" t="str">
        <f t="shared" si="14"/>
        <v>997</v>
      </c>
      <c r="G11" s="6" t="str">
        <f>VLOOKUP(E11,'Retail Rates'!$B$7:$D$34,3,FALSE)</f>
        <v>SPC-P</v>
      </c>
      <c r="H11" s="25">
        <f>SUMIF('Forcasted Customer Cts'!$D$5:$D$36,'Jul17-Jun18 Transport'!$E11,'Forcasted Customer Cts'!$P$5:$P$36)</f>
        <v>0</v>
      </c>
      <c r="I11" s="25"/>
      <c r="J11" s="25"/>
      <c r="K11" s="25">
        <f>SUMIF('Forecasted Calendar Month Usage'!$D$5:$D$41,'Jul17-Jun18 Transport'!$E11,'Forecasted Calendar Month Usage'!$X$5:$X$41)</f>
        <v>0</v>
      </c>
      <c r="L11" s="25"/>
      <c r="M11" s="25"/>
      <c r="N11" s="25"/>
      <c r="O11" s="26">
        <f>VLOOKUP($E11,'Retail Rates'!$B$7:$L$34,5,FALSE)</f>
        <v>800</v>
      </c>
      <c r="P11" s="26">
        <f>VLOOKUP($E11,'Retail Rates'!$B$7:$L$34,6,FALSE)</f>
        <v>0</v>
      </c>
      <c r="Q11" s="26">
        <f>VLOOKUP($E11,'Retail Rates'!$B$7:$L$34,9,FALSE)</f>
        <v>0</v>
      </c>
      <c r="R11" s="27">
        <f>VLOOKUP($E11,'Retail Rates'!$B$7:$L$34,7,FALSE)</f>
        <v>4.9699999999999996E-3</v>
      </c>
      <c r="S11" s="27">
        <f>VLOOKUP($E11,'Retail Rates'!$B$7:$L$34,8,FALSE)</f>
        <v>0</v>
      </c>
      <c r="T11" s="309">
        <v>0</v>
      </c>
      <c r="U11" s="403">
        <f>VLOOKUP($E11,'Retail Rates'!$B$7:$L$34,11,FALSE)</f>
        <v>0.24801000000000001</v>
      </c>
      <c r="V11" s="27"/>
      <c r="W11" s="309"/>
      <c r="X11" s="28">
        <f t="shared" si="2"/>
        <v>0</v>
      </c>
      <c r="Y11" s="28">
        <f t="shared" si="15"/>
        <v>0</v>
      </c>
      <c r="Z11" s="28">
        <f t="shared" si="32"/>
        <v>0</v>
      </c>
      <c r="AA11" s="28">
        <f t="shared" si="3"/>
        <v>0</v>
      </c>
      <c r="AB11" s="28">
        <f t="shared" si="16"/>
        <v>0</v>
      </c>
      <c r="AC11" s="28">
        <f t="shared" si="17"/>
        <v>0</v>
      </c>
      <c r="AD11" s="28">
        <f t="shared" si="18"/>
        <v>0</v>
      </c>
      <c r="AE11" s="28"/>
      <c r="AF11" s="28">
        <f t="shared" si="4"/>
        <v>0</v>
      </c>
      <c r="AG11" s="28"/>
      <c r="AH11" s="48">
        <f ca="1">SUMIFS(Adjustments!H$5:H$557,Adjustments!$B$5:$B$557,'Jul17-Jun18 Retail'!$D10,Adjustments!$C$5:$C$557,'Jul17-Jun18 Retail'!$E10)</f>
        <v>0</v>
      </c>
      <c r="AI11" s="48">
        <f ca="1">SUMIFS(Adjustments!I$5:I$557,Adjustments!$B$5:$B$557,'Jul17-Jun18 Retail'!$D10,Adjustments!$C$5:$C$557,'Jul17-Jun18 Retail'!$E10)</f>
        <v>0</v>
      </c>
      <c r="AJ11" s="40">
        <f ca="1">SUMIFS(Adjustments!J$5:J$557,Adjustments!$B$5:$B$557,'Jul17-Jun18 Retail'!$D10,Adjustments!$C$5:$C$557,'Jul17-Jun18 Retail'!$E10)</f>
        <v>0</v>
      </c>
      <c r="AK11" s="40">
        <f ca="1">SUMIFS(Adjustments!K$5:K$557,Adjustments!$B$5:$B$557,'Jul17-Jun18 Retail'!$D10,Adjustments!$C$5:$C$557,'Jul17-Jun18 Retail'!$E10)</f>
        <v>0</v>
      </c>
      <c r="AL11" s="40">
        <f ca="1">SUMIFS(Adjustments!L$5:L$557,Adjustments!$B$5:$B$557,'Jul17-Jun18 Retail'!$D10,Adjustments!$C$5:$C$557,'Jul17-Jun18 Retail'!$E10)</f>
        <v>0</v>
      </c>
      <c r="AM11" s="40">
        <f ca="1">SUMIFS(Adjustments!M$5:M$557,Adjustments!$B$5:$B$557,'Jul17-Jun18 Retail'!$D10,Adjustments!$C$5:$C$557,'Jul17-Jun18 Retail'!$E10)</f>
        <v>0</v>
      </c>
      <c r="AN11" s="40">
        <f ca="1">SUMIFS(Adjustments!N$5:N$557,Adjustments!$B$5:$B$557,'Jul17-Jun18 Retail'!$D10,Adjustments!$C$5:$C$557,'Jul17-Jun18 Retail'!$E10)</f>
        <v>0</v>
      </c>
      <c r="AO11" s="40">
        <f ca="1">SUMIFS(Adjustments!O$5:O$557,Adjustments!$B$5:$B$557,'Jul17-Jun18 Retail'!$D10,Adjustments!$C$5:$C$557,'Jul17-Jun18 Retail'!$E10)</f>
        <v>0</v>
      </c>
      <c r="AP11" s="40">
        <f ca="1">SUMIFS(Adjustments!P$5:P$557,Adjustments!$B$5:$B$557,'Jul17-Jun18 Retail'!$D10,Adjustments!$C$5:$C$557,'Jul17-Jun18 Retail'!$E10)</f>
        <v>0</v>
      </c>
      <c r="AQ11" s="28">
        <f t="shared" ca="1" si="19"/>
        <v>0</v>
      </c>
      <c r="AR11" s="28">
        <f t="shared" ca="1" si="20"/>
        <v>0</v>
      </c>
      <c r="AS11" s="28">
        <f t="shared" ca="1" si="21"/>
        <v>0</v>
      </c>
      <c r="AT11" s="28">
        <f t="shared" ca="1" si="22"/>
        <v>0</v>
      </c>
      <c r="AU11" s="28">
        <f t="shared" si="23"/>
        <v>0</v>
      </c>
      <c r="AV11" s="28">
        <f t="shared" si="24"/>
        <v>0</v>
      </c>
      <c r="AW11" s="35">
        <f t="shared" si="25"/>
        <v>0</v>
      </c>
      <c r="AX11" s="35">
        <f t="shared" si="26"/>
        <v>0</v>
      </c>
      <c r="AY11" s="35">
        <f t="shared" si="27"/>
        <v>0</v>
      </c>
      <c r="AZ11" s="35">
        <f t="shared" si="7"/>
        <v>0</v>
      </c>
      <c r="BA11" s="28">
        <f t="shared" ca="1" si="8"/>
        <v>0</v>
      </c>
      <c r="BB11" s="28"/>
      <c r="BC11" s="35">
        <f t="shared" ca="1" si="9"/>
        <v>0</v>
      </c>
      <c r="BD11" s="35">
        <f t="shared" si="28"/>
        <v>0</v>
      </c>
      <c r="BE11" s="36">
        <f t="shared" si="10"/>
        <v>0</v>
      </c>
      <c r="BF11" s="35">
        <f>SUMIFS('Fin Forecast'!$K$3:$K$600,'Fin Forecast'!$B$3:$B$600,'Jul17-Jun18 Transport'!$E11,'Fin Forecast'!$C$3:$C$600,'Jul17-Jun18 Transport'!$BF$5)*1000</f>
        <v>0</v>
      </c>
      <c r="BG11" s="35">
        <f>SUMIFS('Fin Forecast'!$K$3:$K$600,'Fin Forecast'!$B$3:$B$600,'Jul17-Jun18 Transport'!$E11,'Fin Forecast'!$C$3:$C$600,'Jul17-Jun18 Transport'!$BG$5)*1000</f>
        <v>0</v>
      </c>
      <c r="BH11" s="35"/>
      <c r="BI11" s="35">
        <f>SUMIFS('Fin Forecast'!$K$3:$K$600,'Fin Forecast'!$B$3:$B$600,'Jul17-Jun18 Transport'!$E11,'Fin Forecast'!$C$3:$C$600,'Jul17-Jun18 Transport'!$BI$5)*1000</f>
        <v>0</v>
      </c>
      <c r="BJ11" s="35">
        <f>SUMIFS('Fin Forecast'!$K$3:$K$600,'Fin Forecast'!$B$3:$B$600,'Jul17-Jun18 Transport'!$E11,'Fin Forecast'!$C$3:$C$600,'Jul17-Jun18 Transport'!$BJ$5)*1000</f>
        <v>0</v>
      </c>
      <c r="BK11" s="35">
        <f>SUMIFS('Fin Forecast'!$K$3:$K$600,'Fin Forecast'!$B$3:$B$600,'Jul17-Jun18 Transport'!$E11,'Fin Forecast'!$C$3:$C$600,'Jul17-Jun18 Transport'!$BK$5)*1000</f>
        <v>0</v>
      </c>
      <c r="BL11" s="35">
        <f>SUMIFS('Fin Forecast'!$K$3:$K$600,'Fin Forecast'!$B$3:$B$600,'Jul17-Jun18 Transport'!$E11,'Fin Forecast'!$C$3:$C$600,'Jul17-Jun18 Transport'!$BL$5)*1000</f>
        <v>0</v>
      </c>
      <c r="BM11" s="35">
        <f>SUMIFS('Fin Forecast'!$K$3:$K$600,'Fin Forecast'!$B$3:$B$600,'Jul17-Jun18 Transport'!$E11,'Fin Forecast'!$C$3:$C$600,'Jul17-Jun18 Transport'!$BM$5)*1000</f>
        <v>0</v>
      </c>
      <c r="BN11" s="35">
        <f>SUMIFS('Fin Forecast'!$K$3:$K$600,'Fin Forecast'!$B$3:$B$600,'Jul17-Jun18 Transport'!$E11,'Fin Forecast'!$C$3:$C$600,'Jul17-Jun18 Transport'!$BN$5)*1000</f>
        <v>0</v>
      </c>
      <c r="BP11" s="44">
        <f t="shared" ca="1" si="11"/>
        <v>0</v>
      </c>
      <c r="BR11" s="49">
        <f t="shared" ca="1" si="29"/>
        <v>0</v>
      </c>
      <c r="BS11" s="49">
        <f t="shared" ca="1" si="12"/>
        <v>0</v>
      </c>
      <c r="BT11" s="49">
        <f t="shared" si="13"/>
        <v>0</v>
      </c>
      <c r="BU11"/>
      <c r="BV11"/>
      <c r="BW11"/>
    </row>
    <row r="12" spans="2:75" ht="15" customHeight="1" x14ac:dyDescent="0.25">
      <c r="C12" s="6">
        <f>C11+1</f>
        <v>6</v>
      </c>
      <c r="D12" s="361">
        <f t="shared" si="31"/>
        <v>42917</v>
      </c>
      <c r="E12" s="361" t="s">
        <v>34</v>
      </c>
      <c r="F12" s="6" t="str">
        <f t="shared" si="14"/>
        <v>996</v>
      </c>
      <c r="G12" s="6" t="s">
        <v>754</v>
      </c>
      <c r="H12" s="25">
        <f>SUMIF('Forcasted Customer Cts'!$D$5:$D$36,'Jul17-Jun18 Transport'!$E12,'Forcasted Customer Cts'!$P$5:$P$36)</f>
        <v>1</v>
      </c>
      <c r="I12" s="25"/>
      <c r="J12" s="25"/>
      <c r="K12" s="25">
        <f>SUMIF('Forecasted Calendar Month Usage'!$D$5:$D$41,'Jul17-Jun18 Transport'!$E12,'Forecasted Calendar Month Usage'!$X$5:$X$41)*10</f>
        <v>131829</v>
      </c>
      <c r="L12" s="25"/>
      <c r="M12" s="25"/>
      <c r="N12" s="25">
        <f>16560*10</f>
        <v>165600</v>
      </c>
      <c r="O12" s="26">
        <f>VLOOKUP($E12,'Retail Rates'!$B$7:$L$34,5,FALSE)</f>
        <v>180</v>
      </c>
      <c r="P12" s="26">
        <f>VLOOKUP($E12,'Retail Rates'!$B$7:$L$34,6,FALSE)</f>
        <v>0</v>
      </c>
      <c r="Q12" s="26">
        <f>VLOOKUP($E12,'Retail Rates'!$B$7:$L$34,9,FALSE)</f>
        <v>0</v>
      </c>
      <c r="R12" s="27">
        <f>VLOOKUP($E12,'Retail Rates'!$B$7:$L$34,7,FALSE)</f>
        <v>3.329E-2</v>
      </c>
      <c r="S12" s="27">
        <f>VLOOKUP($E12,'Retail Rates'!$B$7:$L$34,8,FALSE)</f>
        <v>0</v>
      </c>
      <c r="T12" s="309">
        <v>0</v>
      </c>
      <c r="U12" s="403">
        <f>VLOOKUP($E12,'Retail Rates'!$B$7:$L$34,11,FALSE)</f>
        <v>1.12629</v>
      </c>
      <c r="V12" s="27"/>
      <c r="W12" s="309"/>
      <c r="X12" s="28">
        <f t="shared" si="2"/>
        <v>180</v>
      </c>
      <c r="Y12" s="28">
        <f t="shared" si="15"/>
        <v>0</v>
      </c>
      <c r="Z12" s="28">
        <f t="shared" si="32"/>
        <v>0</v>
      </c>
      <c r="AA12" s="28">
        <f t="shared" si="3"/>
        <v>4388.5874100000001</v>
      </c>
      <c r="AB12" s="28">
        <f t="shared" si="16"/>
        <v>0</v>
      </c>
      <c r="AC12" s="28">
        <f t="shared" si="17"/>
        <v>0</v>
      </c>
      <c r="AD12" s="28">
        <f t="shared" si="18"/>
        <v>0</v>
      </c>
      <c r="AE12" s="28"/>
      <c r="AF12" s="28">
        <f>N12*U12</f>
        <v>186513.62400000001</v>
      </c>
      <c r="AG12" s="28"/>
      <c r="AH12" s="48">
        <f ca="1">SUMIFS(Adjustments!H$5:H$557,Adjustments!$B$5:$B$557,'Jul17-Jun18 Retail'!$D11,Adjustments!$C$5:$C$557,'Jul17-Jun18 Retail'!$E11)</f>
        <v>0</v>
      </c>
      <c r="AI12" s="48">
        <f ca="1">SUMIFS(Adjustments!I$5:I$557,Adjustments!$B$5:$B$557,'Jul17-Jun18 Retail'!$D11,Adjustments!$C$5:$C$557,'Jul17-Jun18 Retail'!$E11)</f>
        <v>0</v>
      </c>
      <c r="AJ12" s="40">
        <f ca="1">SUMIFS(Adjustments!J$5:J$557,Adjustments!$B$5:$B$557,'Jul17-Jun18 Retail'!$D11,Adjustments!$C$5:$C$557,'Jul17-Jun18 Retail'!$E11)</f>
        <v>0</v>
      </c>
      <c r="AK12" s="40">
        <f ca="1">SUMIFS(Adjustments!K$5:K$557,Adjustments!$B$5:$B$557,'Jul17-Jun18 Retail'!$D11,Adjustments!$C$5:$C$557,'Jul17-Jun18 Retail'!$E11)</f>
        <v>0</v>
      </c>
      <c r="AL12" s="40">
        <f ca="1">SUMIFS(Adjustments!L$5:L$557,Adjustments!$B$5:$B$557,'Jul17-Jun18 Retail'!$D11,Adjustments!$C$5:$C$557,'Jul17-Jun18 Retail'!$E11)</f>
        <v>0</v>
      </c>
      <c r="AM12" s="40">
        <f ca="1">SUMIFS(Adjustments!M$5:M$557,Adjustments!$B$5:$B$557,'Jul17-Jun18 Retail'!$D11,Adjustments!$C$5:$C$557,'Jul17-Jun18 Retail'!$E11)</f>
        <v>0</v>
      </c>
      <c r="AN12" s="40">
        <f ca="1">SUMIFS(Adjustments!N$5:N$557,Adjustments!$B$5:$B$557,'Jul17-Jun18 Retail'!$D11,Adjustments!$C$5:$C$557,'Jul17-Jun18 Retail'!$E11)</f>
        <v>0</v>
      </c>
      <c r="AO12" s="40">
        <f ca="1">SUMIFS(Adjustments!O$5:O$557,Adjustments!$B$5:$B$557,'Jul17-Jun18 Retail'!$D11,Adjustments!$C$5:$C$557,'Jul17-Jun18 Retail'!$E11)</f>
        <v>0</v>
      </c>
      <c r="AP12" s="40">
        <f ca="1">SUMIFS(Adjustments!P$5:P$557,Adjustments!$B$5:$B$557,'Jul17-Jun18 Retail'!$D11,Adjustments!$C$5:$C$557,'Jul17-Jun18 Retail'!$E11)</f>
        <v>0</v>
      </c>
      <c r="AQ12" s="28">
        <f t="shared" ca="1" si="19"/>
        <v>180</v>
      </c>
      <c r="AR12" s="28">
        <f t="shared" ca="1" si="20"/>
        <v>0</v>
      </c>
      <c r="AS12" s="28">
        <f t="shared" ca="1" si="21"/>
        <v>4388.5874100000001</v>
      </c>
      <c r="AT12" s="28">
        <f t="shared" ca="1" si="22"/>
        <v>0</v>
      </c>
      <c r="AU12" s="28">
        <f t="shared" si="23"/>
        <v>0</v>
      </c>
      <c r="AV12" s="28">
        <f t="shared" si="24"/>
        <v>0</v>
      </c>
      <c r="AW12" s="35">
        <f t="shared" si="25"/>
        <v>47947.295856551696</v>
      </c>
      <c r="AX12" s="35">
        <f t="shared" si="26"/>
        <v>0</v>
      </c>
      <c r="AY12" s="35">
        <f t="shared" si="27"/>
        <v>0</v>
      </c>
      <c r="AZ12" s="35">
        <f t="shared" si="7"/>
        <v>0</v>
      </c>
      <c r="BA12" s="28">
        <f t="shared" ca="1" si="8"/>
        <v>186513.62400000001</v>
      </c>
      <c r="BB12" s="28"/>
      <c r="BC12" s="35">
        <f t="shared" ca="1" si="9"/>
        <v>239029.51</v>
      </c>
      <c r="BD12" s="35">
        <f t="shared" si="28"/>
        <v>239029.50726655166</v>
      </c>
      <c r="BE12" s="36">
        <f t="shared" ca="1" si="10"/>
        <v>1</v>
      </c>
      <c r="BF12" s="35">
        <f>SUMIFS('Fin Forecast'!$K$3:$K$600,'Fin Forecast'!$B$3:$B$600,'Jul17-Jun18 Transport'!$E12,'Fin Forecast'!$C$3:$C$600,'Jul17-Jun18 Transport'!$BF$5)*1000</f>
        <v>0</v>
      </c>
      <c r="BG12" s="35">
        <f>SUMIFS('Fin Forecast'!$K$3:$K$600,'Fin Forecast'!$B$3:$B$600,'Jul17-Jun18 Transport'!$E12,'Fin Forecast'!$C$3:$C$600,'Jul17-Jun18 Transport'!$BG$5)*1000</f>
        <v>47947.295856551696</v>
      </c>
      <c r="BH12" s="35"/>
      <c r="BI12" s="35">
        <f>SUMIFS('Fin Forecast'!$K$3:$K$600,'Fin Forecast'!$B$3:$B$600,'Jul17-Jun18 Transport'!$E12,'Fin Forecast'!$C$3:$C$600,'Jul17-Jun18 Transport'!$BI$5)*1000</f>
        <v>0</v>
      </c>
      <c r="BJ12" s="35">
        <f>SUMIFS('Fin Forecast'!$K$3:$K$600,'Fin Forecast'!$B$3:$B$600,'Jul17-Jun18 Transport'!$E12,'Fin Forecast'!$C$3:$C$600,'Jul17-Jun18 Transport'!$BJ$5)*1000</f>
        <v>0</v>
      </c>
      <c r="BK12" s="35">
        <f>SUMIFS('Fin Forecast'!$K$3:$K$600,'Fin Forecast'!$B$3:$B$600,'Jul17-Jun18 Transport'!$E12,'Fin Forecast'!$C$3:$C$600,'Jul17-Jun18 Transport'!$BK$5)*1000</f>
        <v>180</v>
      </c>
      <c r="BL12" s="35">
        <f>SUMIFS('Fin Forecast'!$K$3:$K$600,'Fin Forecast'!$B$3:$B$600,'Jul17-Jun18 Transport'!$E12,'Fin Forecast'!$C$3:$C$600,'Jul17-Jun18 Transport'!$BL$5)*1000</f>
        <v>4388.5874099999901</v>
      </c>
      <c r="BM12" s="35">
        <f>SUMIFS('Fin Forecast'!$K$3:$K$600,'Fin Forecast'!$B$3:$B$600,'Jul17-Jun18 Transport'!$E12,'Fin Forecast'!$C$3:$C$600,'Jul17-Jun18 Transport'!$BM$5)*1000</f>
        <v>186513.62399999998</v>
      </c>
      <c r="BN12" s="35">
        <f>SUMIFS('Fin Forecast'!$K$3:$K$600,'Fin Forecast'!$B$3:$B$600,'Jul17-Jun18 Transport'!$E12,'Fin Forecast'!$C$3:$C$600,'Jul17-Jun18 Transport'!$BN$5)*1000</f>
        <v>0</v>
      </c>
      <c r="BP12" s="44">
        <f t="shared" ca="1" si="11"/>
        <v>2.7334483456797898E-3</v>
      </c>
      <c r="BR12" s="49">
        <f t="shared" ca="1" si="29"/>
        <v>0</v>
      </c>
      <c r="BS12" s="49">
        <f t="shared" ca="1" si="12"/>
        <v>1.0004441719502211E-11</v>
      </c>
      <c r="BT12" s="49">
        <f t="shared" si="13"/>
        <v>0</v>
      </c>
    </row>
    <row r="13" spans="2:75" s="323" customFormat="1" ht="15" customHeight="1" x14ac:dyDescent="0.25">
      <c r="C13" s="324"/>
      <c r="D13" s="362"/>
      <c r="E13" s="362"/>
      <c r="F13" s="324"/>
      <c r="G13" s="324"/>
      <c r="H13" s="325"/>
      <c r="I13" s="325"/>
      <c r="J13" s="325"/>
      <c r="K13" s="325"/>
      <c r="L13" s="325"/>
      <c r="M13" s="325"/>
      <c r="N13" s="325"/>
      <c r="O13" s="326"/>
      <c r="P13" s="326"/>
      <c r="Q13" s="327"/>
      <c r="R13" s="327"/>
      <c r="S13" s="327"/>
      <c r="T13" s="326"/>
      <c r="U13" s="327"/>
      <c r="V13" s="326"/>
      <c r="W13" s="328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30"/>
      <c r="AI13" s="330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31"/>
      <c r="BF13" s="329"/>
      <c r="BG13" s="329"/>
      <c r="BH13" s="329"/>
      <c r="BI13" s="329"/>
      <c r="BJ13" s="329"/>
      <c r="BK13" s="329"/>
      <c r="BL13" s="329"/>
      <c r="BM13" s="329"/>
      <c r="BN13" s="329"/>
      <c r="BP13" s="329"/>
      <c r="BR13" s="329"/>
      <c r="BS13" s="329"/>
      <c r="BT13" s="329"/>
    </row>
    <row r="14" spans="2:75" ht="15" customHeight="1" x14ac:dyDescent="0.25">
      <c r="C14" s="6">
        <f>C12+1</f>
        <v>7</v>
      </c>
      <c r="D14" s="361">
        <f>EDATE(D7,1)</f>
        <v>42948</v>
      </c>
      <c r="E14" s="361" t="s">
        <v>41</v>
      </c>
      <c r="F14" s="6" t="str">
        <f>MID(E14,6,3)</f>
        <v>895</v>
      </c>
      <c r="G14" s="6" t="str">
        <f>VLOOKUP(E14,'Retail Rates'!$B$7:$D$34,3,FALSE)</f>
        <v>FT-C</v>
      </c>
      <c r="H14" s="25">
        <f>SUMIF('Forcasted Customer Cts'!$D$5:$D$36,'Jul17-Jun18 Transport'!$E14,'Forcasted Customer Cts'!$Q$5:$Q$36)</f>
        <v>73</v>
      </c>
      <c r="I14" s="25"/>
      <c r="J14" s="25"/>
      <c r="K14" s="25">
        <f>SUMIF('Forecasted Calendar Month Usage'!$D$5:$D$41,'Jul17-Jun18 Transport'!$E14,'Forecasted Calendar Month Usage'!$Y$5:$Y$41)*10</f>
        <v>7549854.0375137134</v>
      </c>
      <c r="L14" s="25"/>
      <c r="M14" s="25">
        <v>69</v>
      </c>
      <c r="N14" s="25"/>
      <c r="O14" s="26">
        <f>VLOOKUP($E14,'Retail Rates'!$B$7:$L$34,5,FALSE)</f>
        <v>0</v>
      </c>
      <c r="P14" s="26">
        <f>VLOOKUP($E14,'Retail Rates'!$B$7:$L$34,6,FALSE)</f>
        <v>0</v>
      </c>
      <c r="Q14" s="26">
        <f>VLOOKUP($E14,'Retail Rates'!$B$7:$L$34,9,FALSE)</f>
        <v>550</v>
      </c>
      <c r="R14" s="27">
        <f>VLOOKUP($E14,'Retail Rates'!$B$7:$L$34,7,FALSE)</f>
        <v>4.3020000000000003E-2</v>
      </c>
      <c r="S14" s="27">
        <f>VLOOKUP($E14,'Retail Rates'!$B$7:$L$34,8,FALSE)</f>
        <v>0</v>
      </c>
      <c r="T14" s="309">
        <v>75</v>
      </c>
      <c r="U14" s="26">
        <f>VLOOKUP($E14,'Retail Rates'!$B$7:$L$34,11,FALSE)</f>
        <v>0</v>
      </c>
      <c r="V14" s="27">
        <v>0</v>
      </c>
      <c r="W14" s="309"/>
      <c r="X14" s="28">
        <f t="shared" ref="X14:X15" si="33">(+H14*O14)+(I14*O14)</f>
        <v>0</v>
      </c>
      <c r="Y14" s="28">
        <f>J14*P14</f>
        <v>0</v>
      </c>
      <c r="Z14" s="28">
        <f>H14*Q14</f>
        <v>40150</v>
      </c>
      <c r="AA14" s="28">
        <f t="shared" ref="AA14:AA19" si="34">+K14*R14</f>
        <v>324794.72069383995</v>
      </c>
      <c r="AB14" s="28">
        <f>+L14*S14</f>
        <v>0</v>
      </c>
      <c r="AC14" s="28">
        <f>M14*T14</f>
        <v>5175</v>
      </c>
      <c r="AD14" s="28">
        <f>H14*V14</f>
        <v>0</v>
      </c>
      <c r="AE14" s="28"/>
      <c r="AF14" s="28">
        <f t="shared" ref="AF14:AF18" si="35">N14*U14</f>
        <v>0</v>
      </c>
      <c r="AG14" s="28"/>
      <c r="AH14" s="48">
        <f ca="1">SUMIFS(Adjustments!H$5:H$557,Adjustments!$B$5:$B$557,'Jul17-Jun18 Retail'!$D14,Adjustments!$C$5:$C$557,'Jul17-Jun18 Retail'!$E14)</f>
        <v>0</v>
      </c>
      <c r="AI14" s="48">
        <f ca="1">SUMIFS(Adjustments!I$5:I$557,Adjustments!$B$5:$B$557,'Jul17-Jun18 Retail'!$D14,Adjustments!$C$5:$C$557,'Jul17-Jun18 Retail'!$E14)</f>
        <v>0</v>
      </c>
      <c r="AJ14" s="40">
        <f ca="1">SUMIFS(Adjustments!J$5:J$557,Adjustments!$B$5:$B$557,'Jul17-Jun18 Retail'!$D14,Adjustments!$C$5:$C$557,'Jul17-Jun18 Retail'!$E14)</f>
        <v>0</v>
      </c>
      <c r="AK14" s="40">
        <f ca="1">SUMIFS(Adjustments!K$5:K$557,Adjustments!$B$5:$B$557,'Jul17-Jun18 Retail'!$D14,Adjustments!$C$5:$C$557,'Jul17-Jun18 Retail'!$E14)</f>
        <v>0</v>
      </c>
      <c r="AL14" s="40">
        <f ca="1">SUMIFS(Adjustments!L$5:L$557,Adjustments!$B$5:$B$557,'Jul17-Jun18 Retail'!$D14,Adjustments!$C$5:$C$557,'Jul17-Jun18 Retail'!$E14)</f>
        <v>0</v>
      </c>
      <c r="AM14" s="40">
        <f ca="1">SUMIFS(Adjustments!M$5:M$557,Adjustments!$B$5:$B$557,'Jul17-Jun18 Retail'!$D14,Adjustments!$C$5:$C$557,'Jul17-Jun18 Retail'!$E14)</f>
        <v>0</v>
      </c>
      <c r="AN14" s="40">
        <f ca="1">SUMIFS(Adjustments!N$5:N$557,Adjustments!$B$5:$B$557,'Jul17-Jun18 Retail'!$D14,Adjustments!$C$5:$C$557,'Jul17-Jun18 Retail'!$E14)</f>
        <v>0</v>
      </c>
      <c r="AO14" s="40">
        <f ca="1">SUMIFS(Adjustments!O$5:O$557,Adjustments!$B$5:$B$557,'Jul17-Jun18 Retail'!$D14,Adjustments!$C$5:$C$557,'Jul17-Jun18 Retail'!$E14)</f>
        <v>0</v>
      </c>
      <c r="AP14" s="40">
        <f ca="1">SUMIFS(Adjustments!P$5:P$557,Adjustments!$B$5:$B$557,'Jul17-Jun18 Retail'!$D14,Adjustments!$C$5:$C$557,'Jul17-Jun18 Retail'!$E14)</f>
        <v>0</v>
      </c>
      <c r="AQ14" s="28">
        <f t="shared" ref="AQ14:AQ19" ca="1" si="36">+X14+AJ14+(AH14*O14)</f>
        <v>0</v>
      </c>
      <c r="AR14" s="28">
        <f ca="1">+Y14+AK14</f>
        <v>0</v>
      </c>
      <c r="AS14" s="28">
        <f t="shared" ref="AS14:AS19" ca="1" si="37">+AA14+AL14</f>
        <v>324794.72069383995</v>
      </c>
      <c r="AT14" s="28">
        <f t="shared" ref="AT14:AT19" ca="1" si="38">+AB14+AM14</f>
        <v>0</v>
      </c>
      <c r="AU14" s="28">
        <f>Z14</f>
        <v>40150</v>
      </c>
      <c r="AV14" s="28">
        <f>AC14</f>
        <v>5175</v>
      </c>
      <c r="AW14" s="35">
        <f>BG14</f>
        <v>0</v>
      </c>
      <c r="AX14" s="35">
        <f>BF14</f>
        <v>216534.24070773466</v>
      </c>
      <c r="AY14" s="35">
        <f>BH14</f>
        <v>0</v>
      </c>
      <c r="AZ14" s="35">
        <f t="shared" ref="AZ14:AZ19" si="39">BN14</f>
        <v>0</v>
      </c>
      <c r="BA14" s="28">
        <f t="shared" ref="BA14:BA19" ca="1" si="40">+AF14+AP14</f>
        <v>0</v>
      </c>
      <c r="BB14" s="28"/>
      <c r="BC14" s="35">
        <f t="shared" ref="BC14:BC15" ca="1" si="41">ROUND(SUM(AQ14:BB14),2)</f>
        <v>586653.96</v>
      </c>
      <c r="BD14" s="35">
        <f>SUM(BF14:BN14)</f>
        <v>586653.96140399587</v>
      </c>
      <c r="BE14" s="36">
        <f t="shared" ref="BE14:BE19" ca="1" si="42">IF(BD14=0,0,ROUND(BD14/BC14,6))</f>
        <v>1</v>
      </c>
      <c r="BF14" s="35">
        <f>SUMIFS('Fin Forecast'!$L$3:$L$600,'Fin Forecast'!$B$3:$B$600,'Jul17-Jun18 Transport'!$E14,'Fin Forecast'!$C$3:$C$600,'Jul17-Jun18 Transport'!$BF$5)*1000</f>
        <v>216534.24070773466</v>
      </c>
      <c r="BG14" s="35">
        <f>SUMIFS('Fin Forecast'!$L$3:$L$600,'Fin Forecast'!$B$3:$B$600,'Jul17-Jun18 Transport'!$E14,'Fin Forecast'!$C$3:$C$600,'Jul17-Jun18 Transport'!$BG$5)*1000</f>
        <v>0</v>
      </c>
      <c r="BH14" s="35"/>
      <c r="BI14" s="35">
        <f>SUMIFS('Fin Forecast'!$L$3:$L$600,'Fin Forecast'!$B$3:$B$600,'Jul17-Jun18 Transport'!$E14,'Fin Forecast'!$C$3:$C$600,'Jul17-Jun18 Transport'!$BI$5)*1000</f>
        <v>5175</v>
      </c>
      <c r="BJ14" s="35">
        <f>SUMIFS('Fin Forecast'!$L$3:$L$600,'Fin Forecast'!$B$3:$B$600,'Jul17-Jun18 Transport'!$E14,'Fin Forecast'!$C$3:$C$600,'Jul17-Jun18 Transport'!$BJ$5)*1000</f>
        <v>40150</v>
      </c>
      <c r="BK14" s="35">
        <f>SUMIFS('Fin Forecast'!$L$3:$L$600,'Fin Forecast'!$B$3:$B$600,'Jul17-Jun18 Transport'!$E14,'Fin Forecast'!$C$3:$C$600,'Jul17-Jun18 Transport'!$BK$5)*1000</f>
        <v>0</v>
      </c>
      <c r="BL14" s="35">
        <f>SUMIFS('Fin Forecast'!$L$3:$L$600,'Fin Forecast'!$B$3:$B$600,'Jul17-Jun18 Transport'!$E14,'Fin Forecast'!$C$3:$C$600,'Jul17-Jun18 Transport'!$BL$5)*1000</f>
        <v>324794.72069626121</v>
      </c>
      <c r="BM14" s="35">
        <f>SUMIFS('Fin Forecast'!$L$3:$L$600,'Fin Forecast'!$B$3:$B$600,'Jul17-Jun18 Transport'!$E14,'Fin Forecast'!$C$3:$C$600,'Jul17-Jun18 Transport'!$BM$5)*1000</f>
        <v>0</v>
      </c>
      <c r="BN14" s="35">
        <f>SUMIFS('Fin Forecast'!$L$3:$L$600,'Fin Forecast'!$B$3:$B$600,'Jul17-Jun18 Transport'!$E14,'Fin Forecast'!$C$3:$C$600,'Jul17-Jun18 Transport'!$BN$5)*1000</f>
        <v>0</v>
      </c>
      <c r="BP14" s="44">
        <f t="shared" ref="BP14:BP19" ca="1" si="43">+BC14-BD14</f>
        <v>-1.4039959060028195E-3</v>
      </c>
      <c r="BR14" s="49">
        <f t="shared" ref="BR14:BR19" ca="1" si="44">+AQ14+AR14-BK14</f>
        <v>0</v>
      </c>
      <c r="BS14" s="49">
        <f t="shared" ref="BS14:BS19" ca="1" si="45">+AS14+AT14-BL14</f>
        <v>-2.4212640710175037E-6</v>
      </c>
      <c r="BT14" s="49">
        <f t="shared" ref="BT14:BT19" si="46">+AW14-BG14</f>
        <v>0</v>
      </c>
    </row>
    <row r="15" spans="2:75" ht="15" customHeight="1" x14ac:dyDescent="0.25">
      <c r="C15" s="6">
        <f>C14+1</f>
        <v>8</v>
      </c>
      <c r="D15" s="361">
        <f>D14</f>
        <v>42948</v>
      </c>
      <c r="E15" s="361" t="s">
        <v>43</v>
      </c>
      <c r="F15" s="6" t="str">
        <f t="shared" ref="F15:F19" si="47">MID(E15,6,3)</f>
        <v>896</v>
      </c>
      <c r="G15" s="6" t="str">
        <f>VLOOKUP(E15,'Retail Rates'!$B$7:$D$34,3,FALSE)</f>
        <v>FT-I</v>
      </c>
      <c r="H15" s="25">
        <f>SUMIF('Forcasted Customer Cts'!$D$5:$D$36,'Jul17-Jun18 Transport'!$E15,'Forcasted Customer Cts'!$Q$5:$Q$36)</f>
        <v>0</v>
      </c>
      <c r="I15" s="25"/>
      <c r="J15" s="25"/>
      <c r="K15" s="25">
        <f>SUMIF('Forecasted Calendar Month Usage'!$D$5:$D$41,'Jul17-Jun18 Transport'!$E15,'Forecasted Calendar Month Usage'!$Y$5:$Y$41)*10</f>
        <v>0</v>
      </c>
      <c r="L15" s="25"/>
      <c r="M15" s="25"/>
      <c r="N15" s="25"/>
      <c r="O15" s="26">
        <f>VLOOKUP($E15,'Retail Rates'!$B$7:$L$34,5,FALSE)</f>
        <v>0</v>
      </c>
      <c r="P15" s="26">
        <f>VLOOKUP($E15,'Retail Rates'!$B$7:$L$34,6,FALSE)</f>
        <v>0</v>
      </c>
      <c r="Q15" s="26">
        <f>VLOOKUP($E15,'Retail Rates'!$B$7:$L$34,9,FALSE)</f>
        <v>550</v>
      </c>
      <c r="R15" s="27">
        <f>VLOOKUP($E15,'Retail Rates'!$B$7:$L$34,7,FALSE)</f>
        <v>4.3020000000000003E-2</v>
      </c>
      <c r="S15" s="27">
        <f>VLOOKUP($E15,'Retail Rates'!$B$7:$L$34,8,FALSE)</f>
        <v>0</v>
      </c>
      <c r="T15" s="309">
        <v>75</v>
      </c>
      <c r="U15" s="26">
        <f>VLOOKUP($E15,'Retail Rates'!$B$7:$L$34,11,FALSE)</f>
        <v>0</v>
      </c>
      <c r="V15" s="27">
        <v>0</v>
      </c>
      <c r="W15" s="309"/>
      <c r="X15" s="28">
        <f t="shared" si="33"/>
        <v>0</v>
      </c>
      <c r="Y15" s="28">
        <f t="shared" ref="Y15:Y19" si="48">J15*P15</f>
        <v>0</v>
      </c>
      <c r="Z15" s="28">
        <f>H15*Q15</f>
        <v>0</v>
      </c>
      <c r="AA15" s="28">
        <f t="shared" si="34"/>
        <v>0</v>
      </c>
      <c r="AB15" s="28">
        <f t="shared" ref="AB15:AB19" si="49">+L15*S15</f>
        <v>0</v>
      </c>
      <c r="AC15" s="28">
        <f t="shared" ref="AC15:AC19" si="50">M15*T15</f>
        <v>0</v>
      </c>
      <c r="AD15" s="28">
        <f t="shared" ref="AD15" si="51">H15*V15</f>
        <v>0</v>
      </c>
      <c r="AE15" s="28"/>
      <c r="AF15" s="28">
        <f t="shared" si="35"/>
        <v>0</v>
      </c>
      <c r="AG15" s="28"/>
      <c r="AH15" s="48">
        <f ca="1">SUMIFS(Adjustments!H$5:H$557,Adjustments!$B$5:$B$557,'Jul17-Jun18 Retail'!$D15,Adjustments!$C$5:$C$557,'Jul17-Jun18 Retail'!$E15)</f>
        <v>0</v>
      </c>
      <c r="AI15" s="48">
        <f ca="1">SUMIFS(Adjustments!I$5:I$557,Adjustments!$B$5:$B$557,'Jul17-Jun18 Retail'!$D15,Adjustments!$C$5:$C$557,'Jul17-Jun18 Retail'!$E15)</f>
        <v>0</v>
      </c>
      <c r="AJ15" s="40">
        <f ca="1">SUMIFS(Adjustments!J$5:J$557,Adjustments!$B$5:$B$557,'Jul17-Jun18 Retail'!$D15,Adjustments!$C$5:$C$557,'Jul17-Jun18 Retail'!$E15)</f>
        <v>0</v>
      </c>
      <c r="AK15" s="40">
        <f ca="1">SUMIFS(Adjustments!K$5:K$557,Adjustments!$B$5:$B$557,'Jul17-Jun18 Retail'!$D15,Adjustments!$C$5:$C$557,'Jul17-Jun18 Retail'!$E15)</f>
        <v>0</v>
      </c>
      <c r="AL15" s="40">
        <f ca="1">SUMIFS(Adjustments!L$5:L$557,Adjustments!$B$5:$B$557,'Jul17-Jun18 Retail'!$D15,Adjustments!$C$5:$C$557,'Jul17-Jun18 Retail'!$E15)</f>
        <v>0</v>
      </c>
      <c r="AM15" s="40">
        <f ca="1">SUMIFS(Adjustments!M$5:M$557,Adjustments!$B$5:$B$557,'Jul17-Jun18 Retail'!$D15,Adjustments!$C$5:$C$557,'Jul17-Jun18 Retail'!$E15)</f>
        <v>0</v>
      </c>
      <c r="AN15" s="40">
        <f ca="1">SUMIFS(Adjustments!N$5:N$557,Adjustments!$B$5:$B$557,'Jul17-Jun18 Retail'!$D15,Adjustments!$C$5:$C$557,'Jul17-Jun18 Retail'!$E15)</f>
        <v>0</v>
      </c>
      <c r="AO15" s="40">
        <f ca="1">SUMIFS(Adjustments!O$5:O$557,Adjustments!$B$5:$B$557,'Jul17-Jun18 Retail'!$D15,Adjustments!$C$5:$C$557,'Jul17-Jun18 Retail'!$E15)</f>
        <v>0</v>
      </c>
      <c r="AP15" s="40">
        <f ca="1">SUMIFS(Adjustments!P$5:P$557,Adjustments!$B$5:$B$557,'Jul17-Jun18 Retail'!$D15,Adjustments!$C$5:$C$557,'Jul17-Jun18 Retail'!$E15)</f>
        <v>0</v>
      </c>
      <c r="AQ15" s="28">
        <f t="shared" ca="1" si="36"/>
        <v>0</v>
      </c>
      <c r="AR15" s="28">
        <f t="shared" ref="AR15:AR19" ca="1" si="52">+Y15+AK15</f>
        <v>0</v>
      </c>
      <c r="AS15" s="28">
        <f t="shared" ca="1" si="37"/>
        <v>0</v>
      </c>
      <c r="AT15" s="28">
        <f t="shared" ca="1" si="38"/>
        <v>0</v>
      </c>
      <c r="AU15" s="28">
        <f t="shared" ref="AU15:AU19" si="53">Z15</f>
        <v>0</v>
      </c>
      <c r="AV15" s="28">
        <f t="shared" ref="AV15:AV19" si="54">AC15</f>
        <v>0</v>
      </c>
      <c r="AW15" s="35">
        <f t="shared" ref="AW15:AW19" si="55">BG15</f>
        <v>0</v>
      </c>
      <c r="AX15" s="35">
        <f t="shared" ref="AX15:AX19" si="56">BF15</f>
        <v>0</v>
      </c>
      <c r="AY15" s="35">
        <f t="shared" ref="AY15:AY19" si="57">BH15</f>
        <v>0</v>
      </c>
      <c r="AZ15" s="35">
        <f t="shared" si="39"/>
        <v>0</v>
      </c>
      <c r="BA15" s="28">
        <f t="shared" ca="1" si="40"/>
        <v>0</v>
      </c>
      <c r="BB15" s="28"/>
      <c r="BC15" s="35">
        <f t="shared" ca="1" si="41"/>
        <v>0</v>
      </c>
      <c r="BD15" s="35">
        <f t="shared" ref="BD15:BD19" si="58">SUM(BF15:BN15)</f>
        <v>0</v>
      </c>
      <c r="BE15" s="36">
        <f t="shared" si="42"/>
        <v>0</v>
      </c>
      <c r="BF15" s="35">
        <f>SUMIFS('Fin Forecast'!$L$3:$L$600,'Fin Forecast'!$B$3:$B$600,'Jul17-Jun18 Transport'!$E15,'Fin Forecast'!$C$3:$C$600,'Jul17-Jun18 Transport'!$BF$5)*1000</f>
        <v>0</v>
      </c>
      <c r="BG15" s="35">
        <f>SUMIFS('Fin Forecast'!$L$3:$L$600,'Fin Forecast'!$B$3:$B$600,'Jul17-Jun18 Transport'!$E15,'Fin Forecast'!$C$3:$C$600,'Jul17-Jun18 Transport'!$BG$5)*1000</f>
        <v>0</v>
      </c>
      <c r="BH15" s="35"/>
      <c r="BI15" s="35">
        <f>SUMIFS('Fin Forecast'!$L$3:$L$600,'Fin Forecast'!$B$3:$B$600,'Jul17-Jun18 Transport'!$E15,'Fin Forecast'!$C$3:$C$600,'Jul17-Jun18 Transport'!$BI$5)*1000</f>
        <v>0</v>
      </c>
      <c r="BJ15" s="35">
        <f>SUMIFS('Fin Forecast'!$L$3:$L$600,'Fin Forecast'!$B$3:$B$600,'Jul17-Jun18 Transport'!$E15,'Fin Forecast'!$C$3:$C$600,'Jul17-Jun18 Transport'!$BJ$5)*1000</f>
        <v>0</v>
      </c>
      <c r="BK15" s="35">
        <f>SUMIFS('Fin Forecast'!$L$3:$L$600,'Fin Forecast'!$B$3:$B$600,'Jul17-Jun18 Transport'!$E15,'Fin Forecast'!$C$3:$C$600,'Jul17-Jun18 Transport'!$BK$5)*1000</f>
        <v>0</v>
      </c>
      <c r="BL15" s="35">
        <f>SUMIFS('Fin Forecast'!$L$3:$L$600,'Fin Forecast'!$B$3:$B$600,'Jul17-Jun18 Transport'!$E15,'Fin Forecast'!$C$3:$C$600,'Jul17-Jun18 Transport'!$BL$5)*1000</f>
        <v>0</v>
      </c>
      <c r="BM15" s="35">
        <f>SUMIFS('Fin Forecast'!$L$3:$L$600,'Fin Forecast'!$B$3:$B$600,'Jul17-Jun18 Transport'!$E15,'Fin Forecast'!$C$3:$C$600,'Jul17-Jun18 Transport'!$BM$5)*1000</f>
        <v>0</v>
      </c>
      <c r="BN15" s="35">
        <f>SUMIFS('Fin Forecast'!$L$3:$L$600,'Fin Forecast'!$B$3:$B$600,'Jul17-Jun18 Transport'!$E15,'Fin Forecast'!$C$3:$C$600,'Jul17-Jun18 Transport'!$BN$5)*1000</f>
        <v>0</v>
      </c>
      <c r="BP15" s="44">
        <f t="shared" ca="1" si="43"/>
        <v>0</v>
      </c>
      <c r="BR15" s="49">
        <f t="shared" ca="1" si="44"/>
        <v>0</v>
      </c>
      <c r="BS15" s="49">
        <f t="shared" ca="1" si="45"/>
        <v>0</v>
      </c>
      <c r="BT15" s="49">
        <f t="shared" si="46"/>
        <v>0</v>
      </c>
    </row>
    <row r="16" spans="2:75" ht="15" x14ac:dyDescent="0.25">
      <c r="B16" s="13" t="s">
        <v>444</v>
      </c>
      <c r="C16" s="6">
        <f t="shared" ref="C16:C18" si="59">C15+1</f>
        <v>9</v>
      </c>
      <c r="D16" s="361">
        <f t="shared" ref="D16:D18" si="60">D15</f>
        <v>42948</v>
      </c>
      <c r="E16" s="361" t="s">
        <v>31</v>
      </c>
      <c r="F16" s="6" t="str">
        <f t="shared" si="47"/>
        <v>882</v>
      </c>
      <c r="G16" s="6" t="str">
        <f>VLOOKUP(E16,'Retail Rates'!$B$7:$D$34,3,FALSE)</f>
        <v>IGS-TS-2</v>
      </c>
      <c r="H16" s="25"/>
      <c r="I16" s="25"/>
      <c r="J16" s="25">
        <f>SUMIFS('Forcasted Customer Cts'!$Q$5:$Q$36,'Forcasted Customer Cts'!$D$5:$D$36,$E16,'Forcasted Customer Cts'!$C$5:$C$36,$B16)</f>
        <v>5</v>
      </c>
      <c r="K16" s="25">
        <v>5000</v>
      </c>
      <c r="L16" s="25">
        <f>(SUMIF('Forecasted Calendar Month Usage'!$D$5:$D$41,'Jul17-Jun18 Transport'!$E16,'Forecasted Calendar Month Usage'!$Y$5:$Y$41)*10)-K16</f>
        <v>333156.44158785528</v>
      </c>
      <c r="M16" s="25">
        <v>2</v>
      </c>
      <c r="N16" s="25"/>
      <c r="O16" s="26">
        <f>VLOOKUP($E16,'Retail Rates'!$B$7:$L$34,5,FALSE)</f>
        <v>40</v>
      </c>
      <c r="P16" s="26">
        <f>VLOOKUP($E16,'Retail Rates'!$B$7:$L$34,6,FALSE)</f>
        <v>180</v>
      </c>
      <c r="Q16" s="26">
        <f>VLOOKUP($E16,'Retail Rates'!$B$7:$L$34,9,FALSE)</f>
        <v>550</v>
      </c>
      <c r="R16" s="27">
        <f>VLOOKUP($E16,'Retail Rates'!$B$7:$L$34,7,FALSE)</f>
        <v>0.22778999999999999</v>
      </c>
      <c r="S16" s="27">
        <f>VLOOKUP($E16,'Retail Rates'!$B$7:$L$34,8,FALSE)</f>
        <v>0.17779</v>
      </c>
      <c r="T16" s="309">
        <v>75</v>
      </c>
      <c r="U16" s="26">
        <f>VLOOKUP($E16,'Retail Rates'!$B$7:$L$34,11,FALSE)</f>
        <v>0</v>
      </c>
      <c r="V16" s="309"/>
      <c r="W16" s="309"/>
      <c r="X16" s="28">
        <f>(+H16*O16)+(I16*O16)</f>
        <v>0</v>
      </c>
      <c r="Y16" s="28">
        <f t="shared" si="48"/>
        <v>900</v>
      </c>
      <c r="Z16" s="28">
        <f>(I16+J16)*Q16</f>
        <v>2750</v>
      </c>
      <c r="AA16" s="28">
        <f t="shared" si="34"/>
        <v>1138.95</v>
      </c>
      <c r="AB16" s="28">
        <f t="shared" si="49"/>
        <v>59231.883749904795</v>
      </c>
      <c r="AC16" s="28">
        <f t="shared" si="50"/>
        <v>150</v>
      </c>
      <c r="AD16" s="28">
        <f>(I16+J16)*V16</f>
        <v>0</v>
      </c>
      <c r="AE16" s="28"/>
      <c r="AF16" s="28">
        <f t="shared" si="35"/>
        <v>0</v>
      </c>
      <c r="AG16" s="28"/>
      <c r="AH16" s="48">
        <f ca="1">SUMIFS(Adjustments!H$5:H$557,Adjustments!$B$5:$B$557,'Jul17-Jun18 Retail'!$D16,Adjustments!$C$5:$C$557,'Jul17-Jun18 Retail'!$E16)</f>
        <v>0</v>
      </c>
      <c r="AI16" s="48">
        <f ca="1">SUMIFS(Adjustments!I$5:I$557,Adjustments!$B$5:$B$557,'Jul17-Jun18 Retail'!$D16,Adjustments!$C$5:$C$557,'Jul17-Jun18 Retail'!$E16)</f>
        <v>0</v>
      </c>
      <c r="AJ16" s="40">
        <f ca="1">SUMIFS(Adjustments!J$5:J$557,Adjustments!$B$5:$B$557,'Jul17-Jun18 Retail'!$D16,Adjustments!$C$5:$C$557,'Jul17-Jun18 Retail'!$E16)</f>
        <v>0</v>
      </c>
      <c r="AK16" s="40">
        <f ca="1">SUMIFS(Adjustments!K$5:K$557,Adjustments!$B$5:$B$557,'Jul17-Jun18 Retail'!$D16,Adjustments!$C$5:$C$557,'Jul17-Jun18 Retail'!$E16)</f>
        <v>0</v>
      </c>
      <c r="AL16" s="40">
        <f ca="1">SUMIFS(Adjustments!L$5:L$557,Adjustments!$B$5:$B$557,'Jul17-Jun18 Retail'!$D16,Adjustments!$C$5:$C$557,'Jul17-Jun18 Retail'!$E16)</f>
        <v>0</v>
      </c>
      <c r="AM16" s="40">
        <f ca="1">SUMIFS(Adjustments!M$5:M$557,Adjustments!$B$5:$B$557,'Jul17-Jun18 Retail'!$D16,Adjustments!$C$5:$C$557,'Jul17-Jun18 Retail'!$E16)</f>
        <v>0</v>
      </c>
      <c r="AN16" s="40">
        <f ca="1">SUMIFS(Adjustments!N$5:N$557,Adjustments!$B$5:$B$557,'Jul17-Jun18 Retail'!$D16,Adjustments!$C$5:$C$557,'Jul17-Jun18 Retail'!$E16)</f>
        <v>0</v>
      </c>
      <c r="AO16" s="40">
        <f ca="1">SUMIFS(Adjustments!O$5:O$557,Adjustments!$B$5:$B$557,'Jul17-Jun18 Retail'!$D16,Adjustments!$C$5:$C$557,'Jul17-Jun18 Retail'!$E16)</f>
        <v>0</v>
      </c>
      <c r="AP16" s="40">
        <f ca="1">SUMIFS(Adjustments!P$5:P$557,Adjustments!$B$5:$B$557,'Jul17-Jun18 Retail'!$D16,Adjustments!$C$5:$C$557,'Jul17-Jun18 Retail'!$E16)</f>
        <v>0</v>
      </c>
      <c r="AQ16" s="28">
        <f t="shared" ca="1" si="36"/>
        <v>0</v>
      </c>
      <c r="AR16" s="28">
        <f t="shared" ca="1" si="52"/>
        <v>900</v>
      </c>
      <c r="AS16" s="28">
        <f t="shared" ca="1" si="37"/>
        <v>1138.95</v>
      </c>
      <c r="AT16" s="28">
        <f t="shared" ca="1" si="38"/>
        <v>59231.883749904795</v>
      </c>
      <c r="AU16" s="28">
        <f t="shared" si="53"/>
        <v>2750</v>
      </c>
      <c r="AV16" s="28">
        <f t="shared" si="54"/>
        <v>150</v>
      </c>
      <c r="AW16" s="35">
        <f t="shared" si="55"/>
        <v>0</v>
      </c>
      <c r="AX16" s="35">
        <f t="shared" si="56"/>
        <v>0</v>
      </c>
      <c r="AY16" s="35">
        <f t="shared" si="57"/>
        <v>0</v>
      </c>
      <c r="AZ16" s="35">
        <f t="shared" si="39"/>
        <v>9031.1387632786991</v>
      </c>
      <c r="BA16" s="28">
        <f t="shared" ca="1" si="40"/>
        <v>0</v>
      </c>
      <c r="BB16" s="28"/>
      <c r="BC16" s="35">
        <f ca="1">ROUND(SUM(AQ16:BB16),2)</f>
        <v>73201.97</v>
      </c>
      <c r="BD16" s="35">
        <f t="shared" si="58"/>
        <v>73201.972510009</v>
      </c>
      <c r="BE16" s="36">
        <f t="shared" ca="1" si="42"/>
        <v>1</v>
      </c>
      <c r="BF16" s="35">
        <f>SUMIFS('Fin Forecast'!$L$3:$L$600,'Fin Forecast'!$B$3:$B$600,'Jul17-Jun18 Transport'!$E16,'Fin Forecast'!$C$3:$C$600,'Jul17-Jun18 Transport'!$BF$5)*1000</f>
        <v>0</v>
      </c>
      <c r="BG16" s="35">
        <f>SUMIFS('Fin Forecast'!$L$3:$L$600,'Fin Forecast'!$B$3:$B$600,'Jul17-Jun18 Transport'!$E16,'Fin Forecast'!$C$3:$C$600,'Jul17-Jun18 Transport'!$BG$5)*1000</f>
        <v>0</v>
      </c>
      <c r="BH16" s="35"/>
      <c r="BI16" s="35">
        <f>SUMIFS('Fin Forecast'!$L$3:$L$600,'Fin Forecast'!$B$3:$B$600,'Jul17-Jun18 Transport'!$E16,'Fin Forecast'!$C$3:$C$600,'Jul17-Jun18 Transport'!$BI$5)*1000</f>
        <v>150</v>
      </c>
      <c r="BJ16" s="35">
        <f>SUMIFS('Fin Forecast'!$L$3:$L$600,'Fin Forecast'!$B$3:$B$600,'Jul17-Jun18 Transport'!$E16,'Fin Forecast'!$C$3:$C$600,'Jul17-Jun18 Transport'!$BJ$5)*1000</f>
        <v>2750</v>
      </c>
      <c r="BK16" s="35">
        <f>SUMIFS('Fin Forecast'!$L$3:$L$600,'Fin Forecast'!$B$3:$B$600,'Jul17-Jun18 Transport'!$E16,'Fin Forecast'!$C$3:$C$600,'Jul17-Jun18 Transport'!$BK$5)*1000</f>
        <v>900</v>
      </c>
      <c r="BL16" s="35">
        <f>SUMIFS('Fin Forecast'!$L$3:$L$600,'Fin Forecast'!$B$3:$B$600,'Jul17-Jun18 Transport'!$E16,'Fin Forecast'!$C$3:$C$600,'Jul17-Jun18 Transport'!$BL$5)*1000</f>
        <v>60370.833746730299</v>
      </c>
      <c r="BM16" s="35">
        <f>SUMIFS('Fin Forecast'!$L$3:$L$600,'Fin Forecast'!$B$3:$B$600,'Jul17-Jun18 Transport'!$E16,'Fin Forecast'!$C$3:$C$600,'Jul17-Jun18 Transport'!$BM$5)*1000</f>
        <v>0</v>
      </c>
      <c r="BN16" s="35">
        <f>SUMIFS('Fin Forecast'!$L$3:$L$600,'Fin Forecast'!$B$3:$B$600,'Jul17-Jun18 Transport'!$E16,'Fin Forecast'!$C$3:$C$600,'Jul17-Jun18 Transport'!$BN$5)*1000</f>
        <v>9031.1387632786991</v>
      </c>
      <c r="BP16" s="44">
        <f t="shared" ca="1" si="43"/>
        <v>-2.5100089987972751E-3</v>
      </c>
      <c r="BR16" s="49">
        <f t="shared" ca="1" si="44"/>
        <v>0</v>
      </c>
      <c r="BS16" s="49">
        <f t="shared" ca="1" si="45"/>
        <v>3.1744930311106145E-6</v>
      </c>
      <c r="BT16" s="49">
        <f t="shared" si="46"/>
        <v>0</v>
      </c>
    </row>
    <row r="17" spans="2:72" ht="15" x14ac:dyDescent="0.25">
      <c r="C17" s="6">
        <f t="shared" si="59"/>
        <v>10</v>
      </c>
      <c r="D17" s="361">
        <f t="shared" si="60"/>
        <v>42948</v>
      </c>
      <c r="E17" s="361" t="s">
        <v>87</v>
      </c>
      <c r="F17" s="6" t="str">
        <f t="shared" si="47"/>
        <v>892</v>
      </c>
      <c r="G17" s="6" t="str">
        <f>VLOOKUP(E17,'Retail Rates'!$B$7:$D$34,3,FALSE)</f>
        <v>AAGS-I-TS-2</v>
      </c>
      <c r="H17" s="25">
        <f>SUMIF('Forcasted Customer Cts'!$D$5:$D$36,'Jul17-Jun18 Transport'!$E17,'Forcasted Customer Cts'!$Q$5:$Q$36)</f>
        <v>2</v>
      </c>
      <c r="I17" s="25"/>
      <c r="J17" s="25"/>
      <c r="K17" s="25">
        <f>SUMIF('Forecasted Calendar Month Usage'!$D$5:$D$41,'Jul17-Jun18 Transport'!$E17,'Forecasted Calendar Month Usage'!$Y$5:$Y$41)*10</f>
        <v>33993.552088602359</v>
      </c>
      <c r="L17" s="25"/>
      <c r="M17" s="25"/>
      <c r="N17" s="25"/>
      <c r="O17" s="26">
        <f>VLOOKUP($E17,'Retail Rates'!$B$7:$L$34,5,FALSE)</f>
        <v>400</v>
      </c>
      <c r="P17" s="26">
        <f>VLOOKUP($E17,'Retail Rates'!$B$7:$L$34,6,FALSE)</f>
        <v>0</v>
      </c>
      <c r="Q17" s="26">
        <f>VLOOKUP($E17,'Retail Rates'!$B$7:$L$34,9,FALSE)</f>
        <v>550</v>
      </c>
      <c r="R17" s="27">
        <f>VLOOKUP($E17,'Retail Rates'!$B$7:$L$34,7,FALSE)</f>
        <v>7.009E-2</v>
      </c>
      <c r="S17" s="27">
        <f>VLOOKUP($E17,'Retail Rates'!$B$7:$L$34,8,FALSE)</f>
        <v>0</v>
      </c>
      <c r="T17" s="309">
        <v>75</v>
      </c>
      <c r="U17" s="26">
        <f>VLOOKUP($E17,'Retail Rates'!$B$7:$L$34,11,FALSE)</f>
        <v>0</v>
      </c>
      <c r="V17" s="309"/>
      <c r="W17" s="309"/>
      <c r="X17" s="28">
        <f t="shared" ref="X17:X19" si="61">(+H17*O17)+(I17*O17)</f>
        <v>800</v>
      </c>
      <c r="Y17" s="28">
        <f t="shared" si="48"/>
        <v>0</v>
      </c>
      <c r="Z17" s="28">
        <f t="shared" ref="Z17:Z19" si="62">H17*Q17</f>
        <v>1100</v>
      </c>
      <c r="AA17" s="28">
        <f t="shared" si="34"/>
        <v>2382.6080658901392</v>
      </c>
      <c r="AB17" s="28">
        <f t="shared" si="49"/>
        <v>0</v>
      </c>
      <c r="AC17" s="28">
        <f t="shared" si="50"/>
        <v>0</v>
      </c>
      <c r="AD17" s="28">
        <f t="shared" ref="AD17:AD19" si="63">H17*V17</f>
        <v>0</v>
      </c>
      <c r="AE17" s="28"/>
      <c r="AF17" s="28">
        <f t="shared" si="35"/>
        <v>0</v>
      </c>
      <c r="AG17" s="28"/>
      <c r="AH17" s="48">
        <f ca="1">SUMIFS(Adjustments!H$5:H$557,Adjustments!$B$5:$B$557,'Jul17-Jun18 Retail'!#REF!,Adjustments!$C$5:$C$557,'Jul17-Jun18 Retail'!#REF!)</f>
        <v>0</v>
      </c>
      <c r="AI17" s="48">
        <f ca="1">SUMIFS(Adjustments!I$5:I$557,Adjustments!$B$5:$B$557,'Jul17-Jun18 Retail'!#REF!,Adjustments!$C$5:$C$557,'Jul17-Jun18 Retail'!#REF!)</f>
        <v>0</v>
      </c>
      <c r="AJ17" s="40">
        <f ca="1">SUMIFS(Adjustments!J$5:J$557,Adjustments!$B$5:$B$557,'Jul17-Jun18 Retail'!#REF!,Adjustments!$C$5:$C$557,'Jul17-Jun18 Retail'!#REF!)</f>
        <v>0</v>
      </c>
      <c r="AK17" s="40">
        <f ca="1">SUMIFS(Adjustments!K$5:K$557,Adjustments!$B$5:$B$557,'Jul17-Jun18 Retail'!#REF!,Adjustments!$C$5:$C$557,'Jul17-Jun18 Retail'!#REF!)</f>
        <v>0</v>
      </c>
      <c r="AL17" s="40">
        <f ca="1">SUMIFS(Adjustments!L$5:L$557,Adjustments!$B$5:$B$557,'Jul17-Jun18 Retail'!#REF!,Adjustments!$C$5:$C$557,'Jul17-Jun18 Retail'!#REF!)</f>
        <v>0</v>
      </c>
      <c r="AM17" s="40">
        <f ca="1">SUMIFS(Adjustments!M$5:M$557,Adjustments!$B$5:$B$557,'Jul17-Jun18 Retail'!#REF!,Adjustments!$C$5:$C$557,'Jul17-Jun18 Retail'!#REF!)</f>
        <v>0</v>
      </c>
      <c r="AN17" s="40">
        <f ca="1">SUMIFS(Adjustments!N$5:N$557,Adjustments!$B$5:$B$557,'Jul17-Jun18 Retail'!#REF!,Adjustments!$C$5:$C$557,'Jul17-Jun18 Retail'!#REF!)</f>
        <v>0</v>
      </c>
      <c r="AO17" s="40">
        <f ca="1">SUMIFS(Adjustments!O$5:O$557,Adjustments!$B$5:$B$557,'Jul17-Jun18 Retail'!#REF!,Adjustments!$C$5:$C$557,'Jul17-Jun18 Retail'!#REF!)</f>
        <v>0</v>
      </c>
      <c r="AP17" s="40">
        <f ca="1">SUMIFS(Adjustments!P$5:P$557,Adjustments!$B$5:$B$557,'Jul17-Jun18 Retail'!#REF!,Adjustments!$C$5:$C$557,'Jul17-Jun18 Retail'!#REF!)</f>
        <v>0</v>
      </c>
      <c r="AQ17" s="28">
        <f t="shared" ca="1" si="36"/>
        <v>800</v>
      </c>
      <c r="AR17" s="28">
        <f t="shared" ca="1" si="52"/>
        <v>0</v>
      </c>
      <c r="AS17" s="28">
        <f t="shared" ca="1" si="37"/>
        <v>2382.6080658901392</v>
      </c>
      <c r="AT17" s="28">
        <f t="shared" ca="1" si="38"/>
        <v>0</v>
      </c>
      <c r="AU17" s="28">
        <f t="shared" si="53"/>
        <v>1100</v>
      </c>
      <c r="AV17" s="28">
        <f t="shared" si="54"/>
        <v>0</v>
      </c>
      <c r="AW17" s="35">
        <f t="shared" si="55"/>
        <v>0</v>
      </c>
      <c r="AX17" s="35">
        <f t="shared" si="56"/>
        <v>0</v>
      </c>
      <c r="AY17" s="35">
        <f t="shared" si="57"/>
        <v>0</v>
      </c>
      <c r="AZ17" s="35">
        <f t="shared" si="39"/>
        <v>1680.2210880356301</v>
      </c>
      <c r="BA17" s="28">
        <f t="shared" ca="1" si="40"/>
        <v>0</v>
      </c>
      <c r="BB17" s="28"/>
      <c r="BC17" s="35">
        <f t="shared" ref="BC17:BC19" ca="1" si="64">ROUND(SUM(AQ17:BB17),2)</f>
        <v>5962.83</v>
      </c>
      <c r="BD17" s="35">
        <f t="shared" si="58"/>
        <v>5962.8291539257698</v>
      </c>
      <c r="BE17" s="36">
        <f t="shared" ca="1" si="42"/>
        <v>1</v>
      </c>
      <c r="BF17" s="35">
        <f>SUMIFS('Fin Forecast'!$L$3:$L$600,'Fin Forecast'!$B$3:$B$600,'Jul17-Jun18 Transport'!$E17,'Fin Forecast'!$C$3:$C$600,'Jul17-Jun18 Transport'!$BF$5)*1000</f>
        <v>0</v>
      </c>
      <c r="BG17" s="35">
        <f>SUMIFS('Fin Forecast'!$L$3:$L$600,'Fin Forecast'!$B$3:$B$600,'Jul17-Jun18 Transport'!$E17,'Fin Forecast'!$C$3:$C$600,'Jul17-Jun18 Transport'!$BG$5)*1000</f>
        <v>0</v>
      </c>
      <c r="BH17" s="35"/>
      <c r="BI17" s="35">
        <f>SUMIFS('Fin Forecast'!$L$3:$L$600,'Fin Forecast'!$B$3:$B$600,'Jul17-Jun18 Transport'!$E17,'Fin Forecast'!$C$3:$C$600,'Jul17-Jun18 Transport'!$BI$5)*1000</f>
        <v>0</v>
      </c>
      <c r="BJ17" s="35">
        <f>SUMIFS('Fin Forecast'!$L$3:$L$600,'Fin Forecast'!$B$3:$B$600,'Jul17-Jun18 Transport'!$E17,'Fin Forecast'!$C$3:$C$600,'Jul17-Jun18 Transport'!$BJ$5)*1000</f>
        <v>1100</v>
      </c>
      <c r="BK17" s="35">
        <f>SUMIFS('Fin Forecast'!$L$3:$L$600,'Fin Forecast'!$B$3:$B$600,'Jul17-Jun18 Transport'!$E17,'Fin Forecast'!$C$3:$C$600,'Jul17-Jun18 Transport'!$BK$5)*1000</f>
        <v>800</v>
      </c>
      <c r="BL17" s="35">
        <f>SUMIFS('Fin Forecast'!$L$3:$L$600,'Fin Forecast'!$B$3:$B$600,'Jul17-Jun18 Transport'!$E17,'Fin Forecast'!$C$3:$C$600,'Jul17-Jun18 Transport'!$BL$5)*1000</f>
        <v>2382.6080658901396</v>
      </c>
      <c r="BM17" s="35">
        <f>SUMIFS('Fin Forecast'!$L$3:$L$600,'Fin Forecast'!$B$3:$B$600,'Jul17-Jun18 Transport'!$E17,'Fin Forecast'!$C$3:$C$600,'Jul17-Jun18 Transport'!$BM$5)*1000</f>
        <v>0</v>
      </c>
      <c r="BN17" s="35">
        <f>SUMIFS('Fin Forecast'!$L$3:$L$600,'Fin Forecast'!$B$3:$B$600,'Jul17-Jun18 Transport'!$E17,'Fin Forecast'!$C$3:$C$600,'Jul17-Jun18 Transport'!$BN$5)*1000</f>
        <v>1680.2210880356301</v>
      </c>
      <c r="BP17" s="44">
        <f t="shared" ca="1" si="43"/>
        <v>8.4607423013949301E-4</v>
      </c>
      <c r="BR17" s="49">
        <f t="shared" ca="1" si="44"/>
        <v>0</v>
      </c>
      <c r="BS17" s="49">
        <f t="shared" ca="1" si="45"/>
        <v>0</v>
      </c>
      <c r="BT17" s="49">
        <f t="shared" si="46"/>
        <v>0</v>
      </c>
    </row>
    <row r="18" spans="2:72" ht="15" customHeight="1" x14ac:dyDescent="0.25">
      <c r="C18" s="6">
        <f t="shared" si="59"/>
        <v>11</v>
      </c>
      <c r="D18" s="361">
        <f t="shared" si="60"/>
        <v>42948</v>
      </c>
      <c r="E18" s="361" t="s">
        <v>51</v>
      </c>
      <c r="F18" s="6" t="str">
        <f t="shared" si="47"/>
        <v>997</v>
      </c>
      <c r="G18" s="6" t="str">
        <f>VLOOKUP(E18,'Retail Rates'!$B$7:$D$34,3,FALSE)</f>
        <v>SPC-P</v>
      </c>
      <c r="H18" s="25">
        <f>SUMIF('Forcasted Customer Cts'!$D$5:$D$36,'Jul17-Jun18 Transport'!$E18,'Forcasted Customer Cts'!$Q$5:$Q$36)</f>
        <v>0</v>
      </c>
      <c r="I18" s="25"/>
      <c r="J18" s="25"/>
      <c r="K18" s="25">
        <f>SUMIF('Forecasted Calendar Month Usage'!$D$5:$D$41,'Jul17-Jun18 Transport'!$E18,'Forecasted Calendar Month Usage'!$Y$5:$Y$41)</f>
        <v>0</v>
      </c>
      <c r="L18" s="25"/>
      <c r="M18" s="25"/>
      <c r="N18" s="25"/>
      <c r="O18" s="26">
        <f>VLOOKUP($E18,'Retail Rates'!$B$7:$L$34,5,FALSE)</f>
        <v>800</v>
      </c>
      <c r="P18" s="26">
        <f>VLOOKUP($E18,'Retail Rates'!$B$7:$L$34,6,FALSE)</f>
        <v>0</v>
      </c>
      <c r="Q18" s="26">
        <f>VLOOKUP($E18,'Retail Rates'!$B$7:$L$34,9,FALSE)</f>
        <v>0</v>
      </c>
      <c r="R18" s="27">
        <f>VLOOKUP($E18,'Retail Rates'!$B$7:$L$34,7,FALSE)</f>
        <v>4.9699999999999996E-3</v>
      </c>
      <c r="S18" s="27">
        <f>VLOOKUP($E18,'Retail Rates'!$B$7:$L$34,8,FALSE)</f>
        <v>0</v>
      </c>
      <c r="T18" s="309">
        <v>0</v>
      </c>
      <c r="U18" s="403">
        <f>VLOOKUP($E18,'Retail Rates'!$B$7:$L$34,11,FALSE)</f>
        <v>0.24801000000000001</v>
      </c>
      <c r="V18" s="27"/>
      <c r="W18" s="309"/>
      <c r="X18" s="28">
        <f t="shared" si="61"/>
        <v>0</v>
      </c>
      <c r="Y18" s="28">
        <f t="shared" si="48"/>
        <v>0</v>
      </c>
      <c r="Z18" s="28">
        <f t="shared" si="62"/>
        <v>0</v>
      </c>
      <c r="AA18" s="28">
        <f t="shared" si="34"/>
        <v>0</v>
      </c>
      <c r="AB18" s="28">
        <f t="shared" si="49"/>
        <v>0</v>
      </c>
      <c r="AC18" s="28">
        <f t="shared" si="50"/>
        <v>0</v>
      </c>
      <c r="AD18" s="28">
        <f t="shared" si="63"/>
        <v>0</v>
      </c>
      <c r="AE18" s="28"/>
      <c r="AF18" s="28">
        <f t="shared" si="35"/>
        <v>0</v>
      </c>
      <c r="AG18" s="28"/>
      <c r="AH18" s="48">
        <f ca="1">SUMIFS(Adjustments!H$5:H$557,Adjustments!$B$5:$B$557,'Jul17-Jun18 Retail'!$D17,Adjustments!$C$5:$C$557,'Jul17-Jun18 Retail'!$E17)</f>
        <v>0</v>
      </c>
      <c r="AI18" s="48">
        <f ca="1">SUMIFS(Adjustments!I$5:I$557,Adjustments!$B$5:$B$557,'Jul17-Jun18 Retail'!$D17,Adjustments!$C$5:$C$557,'Jul17-Jun18 Retail'!$E17)</f>
        <v>0</v>
      </c>
      <c r="AJ18" s="40">
        <f ca="1">SUMIFS(Adjustments!J$5:J$557,Adjustments!$B$5:$B$557,'Jul17-Jun18 Retail'!$D17,Adjustments!$C$5:$C$557,'Jul17-Jun18 Retail'!$E17)</f>
        <v>0</v>
      </c>
      <c r="AK18" s="40">
        <f ca="1">SUMIFS(Adjustments!K$5:K$557,Adjustments!$B$5:$B$557,'Jul17-Jun18 Retail'!$D17,Adjustments!$C$5:$C$557,'Jul17-Jun18 Retail'!$E17)</f>
        <v>0</v>
      </c>
      <c r="AL18" s="40">
        <f ca="1">SUMIFS(Adjustments!L$5:L$557,Adjustments!$B$5:$B$557,'Jul17-Jun18 Retail'!$D17,Adjustments!$C$5:$C$557,'Jul17-Jun18 Retail'!$E17)</f>
        <v>0</v>
      </c>
      <c r="AM18" s="40">
        <f ca="1">SUMIFS(Adjustments!M$5:M$557,Adjustments!$B$5:$B$557,'Jul17-Jun18 Retail'!$D17,Adjustments!$C$5:$C$557,'Jul17-Jun18 Retail'!$E17)</f>
        <v>0</v>
      </c>
      <c r="AN18" s="40">
        <f ca="1">SUMIFS(Adjustments!N$5:N$557,Adjustments!$B$5:$B$557,'Jul17-Jun18 Retail'!$D17,Adjustments!$C$5:$C$557,'Jul17-Jun18 Retail'!$E17)</f>
        <v>0</v>
      </c>
      <c r="AO18" s="40">
        <f ca="1">SUMIFS(Adjustments!O$5:O$557,Adjustments!$B$5:$B$557,'Jul17-Jun18 Retail'!$D17,Adjustments!$C$5:$C$557,'Jul17-Jun18 Retail'!$E17)</f>
        <v>0</v>
      </c>
      <c r="AP18" s="40">
        <f ca="1">SUMIFS(Adjustments!P$5:P$557,Adjustments!$B$5:$B$557,'Jul17-Jun18 Retail'!$D17,Adjustments!$C$5:$C$557,'Jul17-Jun18 Retail'!$E17)</f>
        <v>0</v>
      </c>
      <c r="AQ18" s="28">
        <f t="shared" ca="1" si="36"/>
        <v>0</v>
      </c>
      <c r="AR18" s="28">
        <f t="shared" ca="1" si="52"/>
        <v>0</v>
      </c>
      <c r="AS18" s="28">
        <f t="shared" ca="1" si="37"/>
        <v>0</v>
      </c>
      <c r="AT18" s="28">
        <f t="shared" ca="1" si="38"/>
        <v>0</v>
      </c>
      <c r="AU18" s="28">
        <f t="shared" si="53"/>
        <v>0</v>
      </c>
      <c r="AV18" s="28">
        <f t="shared" si="54"/>
        <v>0</v>
      </c>
      <c r="AW18" s="35">
        <f t="shared" si="55"/>
        <v>0</v>
      </c>
      <c r="AX18" s="35">
        <f t="shared" si="56"/>
        <v>0</v>
      </c>
      <c r="AY18" s="35">
        <f t="shared" si="57"/>
        <v>0</v>
      </c>
      <c r="AZ18" s="35">
        <f t="shared" si="39"/>
        <v>0</v>
      </c>
      <c r="BA18" s="28">
        <f t="shared" ca="1" si="40"/>
        <v>0</v>
      </c>
      <c r="BB18" s="28"/>
      <c r="BC18" s="35">
        <f t="shared" ca="1" si="64"/>
        <v>0</v>
      </c>
      <c r="BD18" s="35">
        <f t="shared" si="58"/>
        <v>0</v>
      </c>
      <c r="BE18" s="36">
        <f t="shared" si="42"/>
        <v>0</v>
      </c>
      <c r="BF18" s="35">
        <f>SUMIFS('Fin Forecast'!$L$3:$L$600,'Fin Forecast'!$B$3:$B$600,'Jul17-Jun18 Transport'!$E18,'Fin Forecast'!$C$3:$C$600,'Jul17-Jun18 Transport'!$BF$5)*1000</f>
        <v>0</v>
      </c>
      <c r="BG18" s="35">
        <f>SUMIFS('Fin Forecast'!$L$3:$L$600,'Fin Forecast'!$B$3:$B$600,'Jul17-Jun18 Transport'!$E18,'Fin Forecast'!$C$3:$C$600,'Jul17-Jun18 Transport'!$BG$5)*1000</f>
        <v>0</v>
      </c>
      <c r="BH18" s="35"/>
      <c r="BI18" s="35">
        <f>SUMIFS('Fin Forecast'!$L$3:$L$600,'Fin Forecast'!$B$3:$B$600,'Jul17-Jun18 Transport'!$E18,'Fin Forecast'!$C$3:$C$600,'Jul17-Jun18 Transport'!$BI$5)*1000</f>
        <v>0</v>
      </c>
      <c r="BJ18" s="35">
        <f>SUMIFS('Fin Forecast'!$L$3:$L$600,'Fin Forecast'!$B$3:$B$600,'Jul17-Jun18 Transport'!$E18,'Fin Forecast'!$C$3:$C$600,'Jul17-Jun18 Transport'!$BJ$5)*1000</f>
        <v>0</v>
      </c>
      <c r="BK18" s="35">
        <f>SUMIFS('Fin Forecast'!$L$3:$L$600,'Fin Forecast'!$B$3:$B$600,'Jul17-Jun18 Transport'!$E18,'Fin Forecast'!$C$3:$C$600,'Jul17-Jun18 Transport'!$BK$5)*1000</f>
        <v>0</v>
      </c>
      <c r="BL18" s="35">
        <f>SUMIFS('Fin Forecast'!$L$3:$L$600,'Fin Forecast'!$B$3:$B$600,'Jul17-Jun18 Transport'!$E18,'Fin Forecast'!$C$3:$C$600,'Jul17-Jun18 Transport'!$BL$5)*1000</f>
        <v>0</v>
      </c>
      <c r="BM18" s="35">
        <f>SUMIFS('Fin Forecast'!$L$3:$L$600,'Fin Forecast'!$B$3:$B$600,'Jul17-Jun18 Transport'!$E18,'Fin Forecast'!$C$3:$C$600,'Jul17-Jun18 Transport'!$BM$5)*1000</f>
        <v>0</v>
      </c>
      <c r="BN18" s="35">
        <f>SUMIFS('Fin Forecast'!$L$3:$L$600,'Fin Forecast'!$B$3:$B$600,'Jul17-Jun18 Transport'!$E18,'Fin Forecast'!$C$3:$C$600,'Jul17-Jun18 Transport'!$BN$5)*1000</f>
        <v>0</v>
      </c>
      <c r="BP18" s="44">
        <f t="shared" ca="1" si="43"/>
        <v>0</v>
      </c>
      <c r="BR18" s="49">
        <f t="shared" ca="1" si="44"/>
        <v>0</v>
      </c>
      <c r="BS18" s="49">
        <f t="shared" ca="1" si="45"/>
        <v>0</v>
      </c>
      <c r="BT18" s="49">
        <f t="shared" si="46"/>
        <v>0</v>
      </c>
    </row>
    <row r="19" spans="2:72" ht="15" customHeight="1" x14ac:dyDescent="0.25">
      <c r="C19" s="6">
        <f>C18+1</f>
        <v>12</v>
      </c>
      <c r="D19" s="361">
        <f>D18</f>
        <v>42948</v>
      </c>
      <c r="E19" s="361" t="s">
        <v>34</v>
      </c>
      <c r="F19" s="6" t="str">
        <f t="shared" si="47"/>
        <v>996</v>
      </c>
      <c r="G19" s="6" t="s">
        <v>754</v>
      </c>
      <c r="H19" s="25">
        <f>SUMIF('Forcasted Customer Cts'!$D$5:$D$36,'Jul17-Jun18 Transport'!$E19,'Forcasted Customer Cts'!$Q$5:$Q$36)</f>
        <v>1</v>
      </c>
      <c r="I19" s="25"/>
      <c r="J19" s="25"/>
      <c r="K19" s="25">
        <f>SUMIF('Forecasted Calendar Month Usage'!$D$5:$D$41,'Jul17-Jun18 Transport'!$E19,'Forecasted Calendar Month Usage'!$Y$5:$Y$41)*10</f>
        <v>133959</v>
      </c>
      <c r="L19" s="25"/>
      <c r="M19" s="25"/>
      <c r="N19" s="25">
        <f>16560*10</f>
        <v>165600</v>
      </c>
      <c r="O19" s="26">
        <f>VLOOKUP($E19,'Retail Rates'!$B$7:$L$34,5,FALSE)</f>
        <v>180</v>
      </c>
      <c r="P19" s="26">
        <f>VLOOKUP($E19,'Retail Rates'!$B$7:$L$34,6,FALSE)</f>
        <v>0</v>
      </c>
      <c r="Q19" s="26">
        <f>VLOOKUP($E19,'Retail Rates'!$B$7:$L$34,9,FALSE)</f>
        <v>0</v>
      </c>
      <c r="R19" s="27">
        <f>VLOOKUP($E19,'Retail Rates'!$B$7:$L$34,7,FALSE)</f>
        <v>3.329E-2</v>
      </c>
      <c r="S19" s="27">
        <f>VLOOKUP($E19,'Retail Rates'!$B$7:$L$34,8,FALSE)</f>
        <v>0</v>
      </c>
      <c r="T19" s="309">
        <v>0</v>
      </c>
      <c r="U19" s="403">
        <f>VLOOKUP($E19,'Retail Rates'!$B$7:$L$34,11,FALSE)</f>
        <v>1.12629</v>
      </c>
      <c r="V19" s="27"/>
      <c r="W19" s="309"/>
      <c r="X19" s="28">
        <f t="shared" si="61"/>
        <v>180</v>
      </c>
      <c r="Y19" s="28">
        <f t="shared" si="48"/>
        <v>0</v>
      </c>
      <c r="Z19" s="28">
        <f t="shared" si="62"/>
        <v>0</v>
      </c>
      <c r="AA19" s="28">
        <f t="shared" si="34"/>
        <v>4459.4951099999998</v>
      </c>
      <c r="AB19" s="28">
        <f t="shared" si="49"/>
        <v>0</v>
      </c>
      <c r="AC19" s="28">
        <f t="shared" si="50"/>
        <v>0</v>
      </c>
      <c r="AD19" s="28">
        <f t="shared" si="63"/>
        <v>0</v>
      </c>
      <c r="AE19" s="28"/>
      <c r="AF19" s="28">
        <f>N19*U19</f>
        <v>186513.62400000001</v>
      </c>
      <c r="AG19" s="28"/>
      <c r="AH19" s="48">
        <f ca="1">SUMIFS(Adjustments!H$5:H$557,Adjustments!$B$5:$B$557,'Jul17-Jun18 Retail'!$D18,Adjustments!$C$5:$C$557,'Jul17-Jun18 Retail'!$E18)</f>
        <v>0</v>
      </c>
      <c r="AI19" s="48">
        <f ca="1">SUMIFS(Adjustments!I$5:I$557,Adjustments!$B$5:$B$557,'Jul17-Jun18 Retail'!$D18,Adjustments!$C$5:$C$557,'Jul17-Jun18 Retail'!$E18)</f>
        <v>0</v>
      </c>
      <c r="AJ19" s="40">
        <f ca="1">SUMIFS(Adjustments!J$5:J$557,Adjustments!$B$5:$B$557,'Jul17-Jun18 Retail'!$D18,Adjustments!$C$5:$C$557,'Jul17-Jun18 Retail'!$E18)</f>
        <v>0</v>
      </c>
      <c r="AK19" s="40">
        <f ca="1">SUMIFS(Adjustments!K$5:K$557,Adjustments!$B$5:$B$557,'Jul17-Jun18 Retail'!$D18,Adjustments!$C$5:$C$557,'Jul17-Jun18 Retail'!$E18)</f>
        <v>0</v>
      </c>
      <c r="AL19" s="40">
        <f ca="1">SUMIFS(Adjustments!L$5:L$557,Adjustments!$B$5:$B$557,'Jul17-Jun18 Retail'!$D18,Adjustments!$C$5:$C$557,'Jul17-Jun18 Retail'!$E18)</f>
        <v>0</v>
      </c>
      <c r="AM19" s="40">
        <f ca="1">SUMIFS(Adjustments!M$5:M$557,Adjustments!$B$5:$B$557,'Jul17-Jun18 Retail'!$D18,Adjustments!$C$5:$C$557,'Jul17-Jun18 Retail'!$E18)</f>
        <v>0</v>
      </c>
      <c r="AN19" s="40">
        <f ca="1">SUMIFS(Adjustments!N$5:N$557,Adjustments!$B$5:$B$557,'Jul17-Jun18 Retail'!$D18,Adjustments!$C$5:$C$557,'Jul17-Jun18 Retail'!$E18)</f>
        <v>0</v>
      </c>
      <c r="AO19" s="40">
        <f ca="1">SUMIFS(Adjustments!O$5:O$557,Adjustments!$B$5:$B$557,'Jul17-Jun18 Retail'!$D18,Adjustments!$C$5:$C$557,'Jul17-Jun18 Retail'!$E18)</f>
        <v>0</v>
      </c>
      <c r="AP19" s="40">
        <f ca="1">SUMIFS(Adjustments!P$5:P$557,Adjustments!$B$5:$B$557,'Jul17-Jun18 Retail'!$D18,Adjustments!$C$5:$C$557,'Jul17-Jun18 Retail'!$E18)</f>
        <v>0</v>
      </c>
      <c r="AQ19" s="28">
        <f t="shared" ca="1" si="36"/>
        <v>180</v>
      </c>
      <c r="AR19" s="28">
        <f t="shared" ca="1" si="52"/>
        <v>0</v>
      </c>
      <c r="AS19" s="28">
        <f t="shared" ca="1" si="37"/>
        <v>4459.4951099999998</v>
      </c>
      <c r="AT19" s="28">
        <f t="shared" ca="1" si="38"/>
        <v>0</v>
      </c>
      <c r="AU19" s="28">
        <f t="shared" si="53"/>
        <v>0</v>
      </c>
      <c r="AV19" s="28">
        <f t="shared" si="54"/>
        <v>0</v>
      </c>
      <c r="AW19" s="35">
        <f t="shared" si="55"/>
        <v>42864.995849459396</v>
      </c>
      <c r="AX19" s="35">
        <f t="shared" si="56"/>
        <v>0</v>
      </c>
      <c r="AY19" s="35">
        <f t="shared" si="57"/>
        <v>0</v>
      </c>
      <c r="AZ19" s="35">
        <f t="shared" si="39"/>
        <v>0</v>
      </c>
      <c r="BA19" s="28">
        <f t="shared" ca="1" si="40"/>
        <v>186513.62400000001</v>
      </c>
      <c r="BB19" s="28"/>
      <c r="BC19" s="35">
        <f t="shared" ca="1" si="64"/>
        <v>234018.11</v>
      </c>
      <c r="BD19" s="35">
        <f t="shared" si="58"/>
        <v>234018.11495945937</v>
      </c>
      <c r="BE19" s="36">
        <f t="shared" ca="1" si="42"/>
        <v>1</v>
      </c>
      <c r="BF19" s="35">
        <f>SUMIFS('Fin Forecast'!$L$3:$L$600,'Fin Forecast'!$B$3:$B$600,'Jul17-Jun18 Transport'!$E19,'Fin Forecast'!$C$3:$C$600,'Jul17-Jun18 Transport'!$BF$5)*1000</f>
        <v>0</v>
      </c>
      <c r="BG19" s="35">
        <f>SUMIFS('Fin Forecast'!$L$3:$L$600,'Fin Forecast'!$B$3:$B$600,'Jul17-Jun18 Transport'!$E19,'Fin Forecast'!$C$3:$C$600,'Jul17-Jun18 Transport'!$BG$5)*1000</f>
        <v>42864.995849459396</v>
      </c>
      <c r="BH19" s="35"/>
      <c r="BI19" s="35">
        <f>SUMIFS('Fin Forecast'!$L$3:$L$600,'Fin Forecast'!$B$3:$B$600,'Jul17-Jun18 Transport'!$E19,'Fin Forecast'!$C$3:$C$600,'Jul17-Jun18 Transport'!$BI$5)*1000</f>
        <v>0</v>
      </c>
      <c r="BJ19" s="35">
        <f>SUMIFS('Fin Forecast'!$L$3:$L$600,'Fin Forecast'!$B$3:$B$600,'Jul17-Jun18 Transport'!$E19,'Fin Forecast'!$C$3:$C$600,'Jul17-Jun18 Transport'!$BJ$5)*1000</f>
        <v>0</v>
      </c>
      <c r="BK19" s="35">
        <f>SUMIFS('Fin Forecast'!$L$3:$L$600,'Fin Forecast'!$B$3:$B$600,'Jul17-Jun18 Transport'!$E19,'Fin Forecast'!$C$3:$C$600,'Jul17-Jun18 Transport'!$BK$5)*1000</f>
        <v>180</v>
      </c>
      <c r="BL19" s="35">
        <f>SUMIFS('Fin Forecast'!$L$3:$L$600,'Fin Forecast'!$B$3:$B$600,'Jul17-Jun18 Transport'!$E19,'Fin Forecast'!$C$3:$C$600,'Jul17-Jun18 Transport'!$BL$5)*1000</f>
        <v>4459.4951099999998</v>
      </c>
      <c r="BM19" s="35">
        <f>SUMIFS('Fin Forecast'!$L$3:$L$600,'Fin Forecast'!$B$3:$B$600,'Jul17-Jun18 Transport'!$E19,'Fin Forecast'!$C$3:$C$600,'Jul17-Jun18 Transport'!$BM$5)*1000</f>
        <v>186513.62399999998</v>
      </c>
      <c r="BN19" s="35">
        <f>SUMIFS('Fin Forecast'!$L$3:$L$600,'Fin Forecast'!$B$3:$B$600,'Jul17-Jun18 Transport'!$E19,'Fin Forecast'!$C$3:$C$600,'Jul17-Jun18 Transport'!$BN$5)*1000</f>
        <v>0</v>
      </c>
      <c r="BP19" s="44">
        <f t="shared" ca="1" si="43"/>
        <v>-4.9594593874644488E-3</v>
      </c>
      <c r="BR19" s="49">
        <f t="shared" ca="1" si="44"/>
        <v>0</v>
      </c>
      <c r="BS19" s="49">
        <f t="shared" ca="1" si="45"/>
        <v>0</v>
      </c>
      <c r="BT19" s="49">
        <f t="shared" si="46"/>
        <v>0</v>
      </c>
    </row>
    <row r="20" spans="2:72" s="323" customFormat="1" ht="15" customHeight="1" x14ac:dyDescent="0.25">
      <c r="C20" s="324"/>
      <c r="D20" s="362"/>
      <c r="E20" s="362"/>
      <c r="F20" s="324"/>
      <c r="G20" s="324"/>
      <c r="H20" s="325"/>
      <c r="I20" s="325"/>
      <c r="J20" s="325"/>
      <c r="K20" s="325"/>
      <c r="L20" s="325"/>
      <c r="M20" s="325"/>
      <c r="N20" s="325"/>
      <c r="O20" s="326"/>
      <c r="P20" s="326"/>
      <c r="Q20" s="327"/>
      <c r="R20" s="327"/>
      <c r="S20" s="327"/>
      <c r="T20" s="326"/>
      <c r="U20" s="327"/>
      <c r="V20" s="326"/>
      <c r="W20" s="328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30"/>
      <c r="AI20" s="330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31"/>
      <c r="BF20" s="329"/>
      <c r="BG20" s="329"/>
      <c r="BH20" s="329"/>
      <c r="BI20" s="329"/>
      <c r="BJ20" s="329"/>
      <c r="BK20" s="329"/>
      <c r="BL20" s="329"/>
      <c r="BM20" s="329"/>
      <c r="BN20" s="329"/>
      <c r="BP20" s="329"/>
      <c r="BR20" s="329"/>
      <c r="BS20" s="329"/>
      <c r="BT20" s="329"/>
    </row>
    <row r="21" spans="2:72" ht="15" customHeight="1" x14ac:dyDescent="0.25">
      <c r="C21" s="6">
        <f>C19+1</f>
        <v>13</v>
      </c>
      <c r="D21" s="361">
        <f>EDATE(D14,1)</f>
        <v>42979</v>
      </c>
      <c r="E21" s="361" t="s">
        <v>41</v>
      </c>
      <c r="F21" s="6" t="str">
        <f>MID(E21,6,3)</f>
        <v>895</v>
      </c>
      <c r="G21" s="6" t="str">
        <f>VLOOKUP(E21,'Retail Rates'!$B$7:$D$34,3,FALSE)</f>
        <v>FT-C</v>
      </c>
      <c r="H21" s="25">
        <f>SUMIF('Forcasted Customer Cts'!$D$5:$D$36,'Jul17-Jun18 Transport'!$E21,'Forcasted Customer Cts'!$R$5:$R$36)</f>
        <v>73</v>
      </c>
      <c r="I21" s="25"/>
      <c r="J21" s="25"/>
      <c r="K21" s="25">
        <f>SUMIF('Forecasted Calendar Month Usage'!$D$5:$D$41,'Jul17-Jun18 Transport'!$E21,'Forecasted Calendar Month Usage'!$Z$5:$Z$41)*10</f>
        <v>7660886.1745606512</v>
      </c>
      <c r="L21" s="25"/>
      <c r="M21" s="25">
        <v>69</v>
      </c>
      <c r="N21" s="25"/>
      <c r="O21" s="26">
        <f>VLOOKUP($E21,'Retail Rates'!$B$7:$L$34,5,FALSE)</f>
        <v>0</v>
      </c>
      <c r="P21" s="26">
        <f>VLOOKUP($E21,'Retail Rates'!$B$7:$L$34,6,FALSE)</f>
        <v>0</v>
      </c>
      <c r="Q21" s="26">
        <f>VLOOKUP($E21,'Retail Rates'!$B$7:$L$34,9,FALSE)</f>
        <v>550</v>
      </c>
      <c r="R21" s="27">
        <f>VLOOKUP($E21,'Retail Rates'!$B$7:$L$34,7,FALSE)</f>
        <v>4.3020000000000003E-2</v>
      </c>
      <c r="S21" s="27">
        <f>VLOOKUP($E21,'Retail Rates'!$B$7:$L$34,8,FALSE)</f>
        <v>0</v>
      </c>
      <c r="T21" s="309">
        <v>75</v>
      </c>
      <c r="U21" s="26">
        <f>VLOOKUP($E21,'Retail Rates'!$B$7:$L$34,11,FALSE)</f>
        <v>0</v>
      </c>
      <c r="V21" s="27"/>
      <c r="W21" s="309"/>
      <c r="X21" s="28">
        <f t="shared" ref="X21:X22" si="65">(+H21*O21)+(I21*O21)</f>
        <v>0</v>
      </c>
      <c r="Y21" s="28">
        <f>J21*P21</f>
        <v>0</v>
      </c>
      <c r="Z21" s="28">
        <f>H21*Q21</f>
        <v>40150</v>
      </c>
      <c r="AA21" s="28">
        <f t="shared" ref="AA21:AA26" si="66">+K21*R21</f>
        <v>329571.32322959922</v>
      </c>
      <c r="AB21" s="28">
        <f>+L21*S21</f>
        <v>0</v>
      </c>
      <c r="AC21" s="28">
        <f>M21*T21</f>
        <v>5175</v>
      </c>
      <c r="AD21" s="28">
        <f>H21*V21</f>
        <v>0</v>
      </c>
      <c r="AE21" s="28"/>
      <c r="AF21" s="28">
        <f t="shared" ref="AF21:AF25" si="67">N21*U21</f>
        <v>0</v>
      </c>
      <c r="AG21" s="28"/>
      <c r="AH21" s="48">
        <f ca="1">SUMIFS(Adjustments!H$5:H$557,Adjustments!$B$5:$B$557,'Jul17-Jun18 Retail'!$D21,Adjustments!$C$5:$C$557,'Jul17-Jun18 Retail'!$E21)</f>
        <v>0</v>
      </c>
      <c r="AI21" s="48">
        <f ca="1">SUMIFS(Adjustments!I$5:I$557,Adjustments!$B$5:$B$557,'Jul17-Jun18 Retail'!$D21,Adjustments!$C$5:$C$557,'Jul17-Jun18 Retail'!$E21)</f>
        <v>0</v>
      </c>
      <c r="AJ21" s="40">
        <f ca="1">SUMIFS(Adjustments!J$5:J$557,Adjustments!$B$5:$B$557,'Jul17-Jun18 Retail'!$D21,Adjustments!$C$5:$C$557,'Jul17-Jun18 Retail'!$E21)</f>
        <v>0</v>
      </c>
      <c r="AK21" s="40">
        <f ca="1">SUMIFS(Adjustments!K$5:K$557,Adjustments!$B$5:$B$557,'Jul17-Jun18 Retail'!$D21,Adjustments!$C$5:$C$557,'Jul17-Jun18 Retail'!$E21)</f>
        <v>0</v>
      </c>
      <c r="AL21" s="40">
        <f ca="1">SUMIFS(Adjustments!L$5:L$557,Adjustments!$B$5:$B$557,'Jul17-Jun18 Retail'!$D21,Adjustments!$C$5:$C$557,'Jul17-Jun18 Retail'!$E21)</f>
        <v>0</v>
      </c>
      <c r="AM21" s="40">
        <f ca="1">SUMIFS(Adjustments!M$5:M$557,Adjustments!$B$5:$B$557,'Jul17-Jun18 Retail'!$D21,Adjustments!$C$5:$C$557,'Jul17-Jun18 Retail'!$E21)</f>
        <v>0</v>
      </c>
      <c r="AN21" s="40">
        <f ca="1">SUMIFS(Adjustments!N$5:N$557,Adjustments!$B$5:$B$557,'Jul17-Jun18 Retail'!$D21,Adjustments!$C$5:$C$557,'Jul17-Jun18 Retail'!$E21)</f>
        <v>0</v>
      </c>
      <c r="AO21" s="40">
        <f ca="1">SUMIFS(Adjustments!O$5:O$557,Adjustments!$B$5:$B$557,'Jul17-Jun18 Retail'!$D21,Adjustments!$C$5:$C$557,'Jul17-Jun18 Retail'!$E21)</f>
        <v>0</v>
      </c>
      <c r="AP21" s="40">
        <f ca="1">SUMIFS(Adjustments!P$5:P$557,Adjustments!$B$5:$B$557,'Jul17-Jun18 Retail'!$D21,Adjustments!$C$5:$C$557,'Jul17-Jun18 Retail'!$E21)</f>
        <v>0</v>
      </c>
      <c r="AQ21" s="28">
        <f t="shared" ref="AQ21:AQ26" ca="1" si="68">+X21+AJ21+(AH21*O21)</f>
        <v>0</v>
      </c>
      <c r="AR21" s="28">
        <f ca="1">+Y21+AK21</f>
        <v>0</v>
      </c>
      <c r="AS21" s="28">
        <f t="shared" ref="AS21:AS26" ca="1" si="69">+AA21+AL21</f>
        <v>329571.32322959922</v>
      </c>
      <c r="AT21" s="28">
        <f t="shared" ref="AT21:AT26" ca="1" si="70">+AB21+AM21</f>
        <v>0</v>
      </c>
      <c r="AU21" s="28">
        <f>Z21</f>
        <v>40150</v>
      </c>
      <c r="AV21" s="28">
        <f>AC21</f>
        <v>5175</v>
      </c>
      <c r="AW21" s="35">
        <f>BG21</f>
        <v>0</v>
      </c>
      <c r="AX21" s="35">
        <f>BF21</f>
        <v>207974.30765140586</v>
      </c>
      <c r="AY21" s="35">
        <f>BH21</f>
        <v>0</v>
      </c>
      <c r="AZ21" s="35">
        <f t="shared" ref="AZ21:AZ26" si="71">BN21</f>
        <v>0</v>
      </c>
      <c r="BA21" s="28">
        <f t="shared" ref="BA21:BA26" ca="1" si="72">+AF21+AP21</f>
        <v>0</v>
      </c>
      <c r="BB21" s="28"/>
      <c r="BC21" s="35">
        <f t="shared" ref="BC21:BC22" ca="1" si="73">ROUND(SUM(AQ21:BB21),2)</f>
        <v>582870.63</v>
      </c>
      <c r="BD21" s="35">
        <f>SUM(BF21:BN21)</f>
        <v>582870.63087796478</v>
      </c>
      <c r="BE21" s="36">
        <f t="shared" ref="BE21:BE26" ca="1" si="74">IF(BD21=0,0,ROUND(BD21/BC21,6))</f>
        <v>1</v>
      </c>
      <c r="BF21" s="35">
        <f>SUMIFS('Fin Forecast'!$M$3:$M$600,'Fin Forecast'!$B$3:$B$600,'Jul17-Jun18 Transport'!$E21,'Fin Forecast'!$C$3:$C$600,'Jul17-Jun18 Transport'!$BF$5)*1000</f>
        <v>207974.30765140586</v>
      </c>
      <c r="BG21" s="35">
        <f>SUMIFS('Fin Forecast'!$M$3:$M$600,'Fin Forecast'!$B$3:$B$600,'Jul17-Jun18 Transport'!$E21,'Fin Forecast'!$C$3:$C$600,'Jul17-Jun18 Transport'!$BG$5)*1000</f>
        <v>0</v>
      </c>
      <c r="BH21" s="35"/>
      <c r="BI21" s="35">
        <f>SUMIFS('Fin Forecast'!$M$3:$M$600,'Fin Forecast'!$B$3:$B$600,'Jul17-Jun18 Transport'!$E21,'Fin Forecast'!$C$3:$C$600,'Jul17-Jun18 Transport'!$BI$5)*1000</f>
        <v>5175</v>
      </c>
      <c r="BJ21" s="35">
        <f>SUMIFS('Fin Forecast'!$M$3:$M$600,'Fin Forecast'!$B$3:$B$600,'Jul17-Jun18 Transport'!$E21,'Fin Forecast'!$C$3:$C$600,'Jul17-Jun18 Transport'!$BJ$5)*1000</f>
        <v>40150</v>
      </c>
      <c r="BK21" s="35">
        <f>SUMIFS('Fin Forecast'!$M$3:$M$600,'Fin Forecast'!$B$3:$B$600,'Jul17-Jun18 Transport'!$E21,'Fin Forecast'!$C$3:$C$600,'Jul17-Jun18 Transport'!$BK$5)*1000</f>
        <v>0</v>
      </c>
      <c r="BL21" s="35">
        <f>SUMIFS('Fin Forecast'!$M$3:$M$600,'Fin Forecast'!$B$3:$B$600,'Jul17-Jun18 Transport'!$E21,'Fin Forecast'!$C$3:$C$600,'Jul17-Jun18 Transport'!$BL$5)*1000</f>
        <v>329571.32322655892</v>
      </c>
      <c r="BM21" s="35">
        <f>SUMIFS('Fin Forecast'!$M$3:$M$600,'Fin Forecast'!$B$3:$B$600,'Jul17-Jun18 Transport'!$E21,'Fin Forecast'!$C$3:$C$600,'Jul17-Jun18 Transport'!$BM$5)*1000</f>
        <v>0</v>
      </c>
      <c r="BN21" s="35">
        <f>SUMIFS('Fin Forecast'!$M$3:$M$600,'Fin Forecast'!$B$3:$B$600,'Jul17-Jun18 Transport'!$E21,'Fin Forecast'!$C$3:$C$600,'Jul17-Jun18 Transport'!$BN$5)*1000</f>
        <v>0</v>
      </c>
      <c r="BP21" s="44">
        <f t="shared" ref="BP21:BP26" ca="1" si="75">+BC21-BD21</f>
        <v>-8.7796477600932121E-4</v>
      </c>
      <c r="BR21" s="49">
        <f t="shared" ref="BR21:BR26" ca="1" si="76">+AQ21+AR21-BK21</f>
        <v>0</v>
      </c>
      <c r="BS21" s="49">
        <f t="shared" ref="BS21:BS26" ca="1" si="77">+AS21+AT21-BL21</f>
        <v>3.0403025448322296E-6</v>
      </c>
      <c r="BT21" s="49">
        <f t="shared" ref="BT21:BT26" si="78">+AW21-BG21</f>
        <v>0</v>
      </c>
    </row>
    <row r="22" spans="2:72" ht="15" customHeight="1" x14ac:dyDescent="0.25">
      <c r="C22" s="6">
        <f>C21+1</f>
        <v>14</v>
      </c>
      <c r="D22" s="361">
        <f>$D$21</f>
        <v>42979</v>
      </c>
      <c r="E22" s="361" t="s">
        <v>43</v>
      </c>
      <c r="F22" s="6" t="str">
        <f t="shared" ref="F22:F26" si="79">MID(E22,6,3)</f>
        <v>896</v>
      </c>
      <c r="G22" s="6" t="str">
        <f>VLOOKUP(E22,'Retail Rates'!$B$7:$D$34,3,FALSE)</f>
        <v>FT-I</v>
      </c>
      <c r="H22" s="25">
        <f>SUMIF('Forcasted Customer Cts'!$D$5:$D$36,'Jul17-Jun18 Transport'!$E22,'Forcasted Customer Cts'!$R$5:$R$36)</f>
        <v>0</v>
      </c>
      <c r="I22" s="25"/>
      <c r="J22" s="25"/>
      <c r="K22" s="25">
        <f>SUMIF('Forecasted Calendar Month Usage'!$D$5:$D$41,'Jul17-Jun18 Transport'!$E22,'Forecasted Calendar Month Usage'!$Z$5:$Z$41)*10</f>
        <v>0</v>
      </c>
      <c r="L22" s="25"/>
      <c r="M22" s="25"/>
      <c r="N22" s="25"/>
      <c r="O22" s="26">
        <f>VLOOKUP($E22,'Retail Rates'!$B$7:$L$34,5,FALSE)</f>
        <v>0</v>
      </c>
      <c r="P22" s="26">
        <f>VLOOKUP($E22,'Retail Rates'!$B$7:$L$34,6,FALSE)</f>
        <v>0</v>
      </c>
      <c r="Q22" s="26">
        <f>VLOOKUP($E22,'Retail Rates'!$B$7:$L$34,9,FALSE)</f>
        <v>550</v>
      </c>
      <c r="R22" s="27">
        <f>VLOOKUP($E22,'Retail Rates'!$B$7:$L$34,7,FALSE)</f>
        <v>4.3020000000000003E-2</v>
      </c>
      <c r="S22" s="27">
        <f>VLOOKUP($E22,'Retail Rates'!$B$7:$L$34,8,FALSE)</f>
        <v>0</v>
      </c>
      <c r="T22" s="309">
        <v>75</v>
      </c>
      <c r="U22" s="26">
        <f>VLOOKUP($E22,'Retail Rates'!$B$7:$L$34,11,FALSE)</f>
        <v>0</v>
      </c>
      <c r="V22" s="27"/>
      <c r="W22" s="309"/>
      <c r="X22" s="28">
        <f t="shared" si="65"/>
        <v>0</v>
      </c>
      <c r="Y22" s="28">
        <f t="shared" ref="Y22:Y26" si="80">J22*P22</f>
        <v>0</v>
      </c>
      <c r="Z22" s="28">
        <f>H22*Q22</f>
        <v>0</v>
      </c>
      <c r="AA22" s="28">
        <f t="shared" si="66"/>
        <v>0</v>
      </c>
      <c r="AB22" s="28">
        <f t="shared" ref="AB22:AB26" si="81">+L22*S22</f>
        <v>0</v>
      </c>
      <c r="AC22" s="28">
        <f t="shared" ref="AC22:AC26" si="82">M22*T22</f>
        <v>0</v>
      </c>
      <c r="AD22" s="28">
        <f t="shared" ref="AD22" si="83">H22*V22</f>
        <v>0</v>
      </c>
      <c r="AE22" s="28"/>
      <c r="AF22" s="28">
        <f t="shared" si="67"/>
        <v>0</v>
      </c>
      <c r="AG22" s="28"/>
      <c r="AH22" s="48">
        <f ca="1">SUMIFS(Adjustments!H$5:H$557,Adjustments!$B$5:$B$557,'Jul17-Jun18 Retail'!$D22,Adjustments!$C$5:$C$557,'Jul17-Jun18 Retail'!$E22)</f>
        <v>0</v>
      </c>
      <c r="AI22" s="48">
        <f ca="1">SUMIFS(Adjustments!I$5:I$557,Adjustments!$B$5:$B$557,'Jul17-Jun18 Retail'!$D22,Adjustments!$C$5:$C$557,'Jul17-Jun18 Retail'!$E22)</f>
        <v>0</v>
      </c>
      <c r="AJ22" s="40">
        <f ca="1">SUMIFS(Adjustments!J$5:J$557,Adjustments!$B$5:$B$557,'Jul17-Jun18 Retail'!$D22,Adjustments!$C$5:$C$557,'Jul17-Jun18 Retail'!$E22)</f>
        <v>0</v>
      </c>
      <c r="AK22" s="40">
        <f ca="1">SUMIFS(Adjustments!K$5:K$557,Adjustments!$B$5:$B$557,'Jul17-Jun18 Retail'!$D22,Adjustments!$C$5:$C$557,'Jul17-Jun18 Retail'!$E22)</f>
        <v>0</v>
      </c>
      <c r="AL22" s="40">
        <f ca="1">SUMIFS(Adjustments!L$5:L$557,Adjustments!$B$5:$B$557,'Jul17-Jun18 Retail'!$D22,Adjustments!$C$5:$C$557,'Jul17-Jun18 Retail'!$E22)</f>
        <v>0</v>
      </c>
      <c r="AM22" s="40">
        <f ca="1">SUMIFS(Adjustments!M$5:M$557,Adjustments!$B$5:$B$557,'Jul17-Jun18 Retail'!$D22,Adjustments!$C$5:$C$557,'Jul17-Jun18 Retail'!$E22)</f>
        <v>0</v>
      </c>
      <c r="AN22" s="40">
        <f ca="1">SUMIFS(Adjustments!N$5:N$557,Adjustments!$B$5:$B$557,'Jul17-Jun18 Retail'!$D22,Adjustments!$C$5:$C$557,'Jul17-Jun18 Retail'!$E22)</f>
        <v>0</v>
      </c>
      <c r="AO22" s="40">
        <f ca="1">SUMIFS(Adjustments!O$5:O$557,Adjustments!$B$5:$B$557,'Jul17-Jun18 Retail'!$D22,Adjustments!$C$5:$C$557,'Jul17-Jun18 Retail'!$E22)</f>
        <v>0</v>
      </c>
      <c r="AP22" s="40">
        <f ca="1">SUMIFS(Adjustments!P$5:P$557,Adjustments!$B$5:$B$557,'Jul17-Jun18 Retail'!$D22,Adjustments!$C$5:$C$557,'Jul17-Jun18 Retail'!$E22)</f>
        <v>0</v>
      </c>
      <c r="AQ22" s="28">
        <f t="shared" ca="1" si="68"/>
        <v>0</v>
      </c>
      <c r="AR22" s="28">
        <f t="shared" ref="AR22:AR26" ca="1" si="84">+Y22+AK22</f>
        <v>0</v>
      </c>
      <c r="AS22" s="28">
        <f t="shared" ca="1" si="69"/>
        <v>0</v>
      </c>
      <c r="AT22" s="28">
        <f t="shared" ca="1" si="70"/>
        <v>0</v>
      </c>
      <c r="AU22" s="28">
        <f t="shared" ref="AU22:AU26" si="85">Z22</f>
        <v>0</v>
      </c>
      <c r="AV22" s="28">
        <f t="shared" ref="AV22:AV26" si="86">AC22</f>
        <v>0</v>
      </c>
      <c r="AW22" s="35">
        <f t="shared" ref="AW22:AW26" si="87">BG22</f>
        <v>0</v>
      </c>
      <c r="AX22" s="35">
        <f t="shared" ref="AX22:AX26" si="88">BF22</f>
        <v>0</v>
      </c>
      <c r="AY22" s="35">
        <f t="shared" ref="AY22:AY26" si="89">BH22</f>
        <v>0</v>
      </c>
      <c r="AZ22" s="35">
        <f t="shared" si="71"/>
        <v>0</v>
      </c>
      <c r="BA22" s="28">
        <f t="shared" ca="1" si="72"/>
        <v>0</v>
      </c>
      <c r="BB22" s="28"/>
      <c r="BC22" s="35">
        <f t="shared" ca="1" si="73"/>
        <v>0</v>
      </c>
      <c r="BD22" s="35">
        <f t="shared" ref="BD22:BD26" si="90">SUM(BF22:BN22)</f>
        <v>0</v>
      </c>
      <c r="BE22" s="36">
        <f t="shared" si="74"/>
        <v>0</v>
      </c>
      <c r="BF22" s="35">
        <f>SUMIFS('Fin Forecast'!$M$3:$M$600,'Fin Forecast'!$B$3:$B$600,'Jul17-Jun18 Transport'!$E22,'Fin Forecast'!$C$3:$C$600,'Jul17-Jun18 Transport'!$BF$5)*1000</f>
        <v>0</v>
      </c>
      <c r="BG22" s="35">
        <f>SUMIFS('Fin Forecast'!$M$3:$M$600,'Fin Forecast'!$B$3:$B$600,'Jul17-Jun18 Transport'!$E22,'Fin Forecast'!$C$3:$C$600,'Jul17-Jun18 Transport'!$BG$5)*1000</f>
        <v>0</v>
      </c>
      <c r="BH22" s="35"/>
      <c r="BI22" s="35">
        <f>SUMIFS('Fin Forecast'!$M$3:$M$600,'Fin Forecast'!$B$3:$B$600,'Jul17-Jun18 Transport'!$E22,'Fin Forecast'!$C$3:$C$600,'Jul17-Jun18 Transport'!$BI$5)*1000</f>
        <v>0</v>
      </c>
      <c r="BJ22" s="35">
        <f>SUMIFS('Fin Forecast'!$M$3:$M$600,'Fin Forecast'!$B$3:$B$600,'Jul17-Jun18 Transport'!$E22,'Fin Forecast'!$C$3:$C$600,'Jul17-Jun18 Transport'!$BJ$5)*1000</f>
        <v>0</v>
      </c>
      <c r="BK22" s="35">
        <f>SUMIFS('Fin Forecast'!$M$3:$M$600,'Fin Forecast'!$B$3:$B$600,'Jul17-Jun18 Transport'!$E22,'Fin Forecast'!$C$3:$C$600,'Jul17-Jun18 Transport'!$BK$5)*1000</f>
        <v>0</v>
      </c>
      <c r="BL22" s="35">
        <f>SUMIFS('Fin Forecast'!$M$3:$M$600,'Fin Forecast'!$B$3:$B$600,'Jul17-Jun18 Transport'!$E22,'Fin Forecast'!$C$3:$C$600,'Jul17-Jun18 Transport'!$BL$5)*1000</f>
        <v>0</v>
      </c>
      <c r="BM22" s="35">
        <f>SUMIFS('Fin Forecast'!$M$3:$M$600,'Fin Forecast'!$B$3:$B$600,'Jul17-Jun18 Transport'!$E22,'Fin Forecast'!$C$3:$C$600,'Jul17-Jun18 Transport'!$BM$5)*1000</f>
        <v>0</v>
      </c>
      <c r="BN22" s="35">
        <f>SUMIFS('Fin Forecast'!$M$3:$M$600,'Fin Forecast'!$B$3:$B$600,'Jul17-Jun18 Transport'!$E22,'Fin Forecast'!$C$3:$C$600,'Jul17-Jun18 Transport'!$BN$5)*1000</f>
        <v>0</v>
      </c>
      <c r="BP22" s="44">
        <f t="shared" ca="1" si="75"/>
        <v>0</v>
      </c>
      <c r="BR22" s="49">
        <f t="shared" ca="1" si="76"/>
        <v>0</v>
      </c>
      <c r="BS22" s="49">
        <f t="shared" ca="1" si="77"/>
        <v>0</v>
      </c>
      <c r="BT22" s="49">
        <f t="shared" si="78"/>
        <v>0</v>
      </c>
    </row>
    <row r="23" spans="2:72" ht="15" customHeight="1" x14ac:dyDescent="0.25">
      <c r="B23" s="13" t="s">
        <v>444</v>
      </c>
      <c r="C23" s="6">
        <f t="shared" ref="C23:C25" si="91">C22+1</f>
        <v>15</v>
      </c>
      <c r="D23" s="361">
        <f t="shared" ref="D23:D26" si="92">$D$21</f>
        <v>42979</v>
      </c>
      <c r="E23" s="361" t="s">
        <v>31</v>
      </c>
      <c r="F23" s="6" t="str">
        <f t="shared" si="79"/>
        <v>882</v>
      </c>
      <c r="G23" s="6" t="str">
        <f>VLOOKUP(E23,'Retail Rates'!$B$7:$D$34,3,FALSE)</f>
        <v>IGS-TS-2</v>
      </c>
      <c r="H23" s="25"/>
      <c r="I23" s="25"/>
      <c r="J23" s="25">
        <f>SUMIFS('Forcasted Customer Cts'!$R$5:$R$36,'Forcasted Customer Cts'!$D$5:$D$36,$E23,'Forcasted Customer Cts'!$C$5:$C$36,$B23)</f>
        <v>5</v>
      </c>
      <c r="K23" s="25">
        <v>5000</v>
      </c>
      <c r="L23" s="25">
        <f>(SUMIF('Forecasted Calendar Month Usage'!$D$5:$D$41,'Jul17-Jun18 Transport'!$E23,'Forecasted Calendar Month Usage'!$Z$5:$Z$41)*10)-K23</f>
        <v>421408.51385407255</v>
      </c>
      <c r="M23" s="25">
        <v>2</v>
      </c>
      <c r="N23" s="25"/>
      <c r="O23" s="26">
        <f>VLOOKUP($E23,'Retail Rates'!$B$7:$L$34,5,FALSE)</f>
        <v>40</v>
      </c>
      <c r="P23" s="26">
        <f>VLOOKUP($E23,'Retail Rates'!$B$7:$L$34,6,FALSE)</f>
        <v>180</v>
      </c>
      <c r="Q23" s="26">
        <f>VLOOKUP($E23,'Retail Rates'!$B$7:$L$34,9,FALSE)</f>
        <v>550</v>
      </c>
      <c r="R23" s="27">
        <f>VLOOKUP($E23,'Retail Rates'!$B$7:$L$34,7,FALSE)</f>
        <v>0.22778999999999999</v>
      </c>
      <c r="S23" s="27">
        <f>VLOOKUP($E23,'Retail Rates'!$B$7:$L$34,8,FALSE)</f>
        <v>0.17779</v>
      </c>
      <c r="T23" s="309">
        <v>75</v>
      </c>
      <c r="U23" s="26">
        <f>VLOOKUP($E23,'Retail Rates'!$B$7:$L$34,11,FALSE)</f>
        <v>0</v>
      </c>
      <c r="V23" s="309"/>
      <c r="W23" s="309"/>
      <c r="X23" s="28">
        <f>(+H23*O23)+(I23*O23)</f>
        <v>0</v>
      </c>
      <c r="Y23" s="28">
        <f t="shared" si="80"/>
        <v>900</v>
      </c>
      <c r="Z23" s="28">
        <f>(I23+J23)*Q23</f>
        <v>2750</v>
      </c>
      <c r="AA23" s="28">
        <f t="shared" si="66"/>
        <v>1138.95</v>
      </c>
      <c r="AB23" s="28">
        <f t="shared" si="81"/>
        <v>74922.219678115565</v>
      </c>
      <c r="AC23" s="28">
        <f t="shared" si="82"/>
        <v>150</v>
      </c>
      <c r="AD23" s="28">
        <f>(I23+J23)*V23</f>
        <v>0</v>
      </c>
      <c r="AE23" s="28"/>
      <c r="AF23" s="28">
        <f t="shared" si="67"/>
        <v>0</v>
      </c>
      <c r="AG23" s="28"/>
      <c r="AH23" s="48">
        <f ca="1">SUMIFS(Adjustments!H$5:H$557,Adjustments!$B$5:$B$557,'Jul17-Jun18 Retail'!#REF!,Adjustments!$C$5:$C$557,'Jul17-Jun18 Retail'!#REF!)</f>
        <v>0</v>
      </c>
      <c r="AI23" s="48">
        <f ca="1">SUMIFS(Adjustments!I$5:I$557,Adjustments!$B$5:$B$557,'Jul17-Jun18 Retail'!#REF!,Adjustments!$C$5:$C$557,'Jul17-Jun18 Retail'!#REF!)</f>
        <v>0</v>
      </c>
      <c r="AJ23" s="40">
        <f ca="1">SUMIFS(Adjustments!J$5:J$557,Adjustments!$B$5:$B$557,'Jul17-Jun18 Retail'!#REF!,Adjustments!$C$5:$C$557,'Jul17-Jun18 Retail'!#REF!)</f>
        <v>0</v>
      </c>
      <c r="AK23" s="40">
        <f ca="1">SUMIFS(Adjustments!K$5:K$557,Adjustments!$B$5:$B$557,'Jul17-Jun18 Retail'!#REF!,Adjustments!$C$5:$C$557,'Jul17-Jun18 Retail'!#REF!)</f>
        <v>0</v>
      </c>
      <c r="AL23" s="40">
        <f ca="1">SUMIFS(Adjustments!L$5:L$557,Adjustments!$B$5:$B$557,'Jul17-Jun18 Retail'!#REF!,Adjustments!$C$5:$C$557,'Jul17-Jun18 Retail'!#REF!)</f>
        <v>0</v>
      </c>
      <c r="AM23" s="40">
        <f ca="1">SUMIFS(Adjustments!M$5:M$557,Adjustments!$B$5:$B$557,'Jul17-Jun18 Retail'!#REF!,Adjustments!$C$5:$C$557,'Jul17-Jun18 Retail'!#REF!)</f>
        <v>0</v>
      </c>
      <c r="AN23" s="40">
        <f ca="1">SUMIFS(Adjustments!N$5:N$557,Adjustments!$B$5:$B$557,'Jul17-Jun18 Retail'!#REF!,Adjustments!$C$5:$C$557,'Jul17-Jun18 Retail'!#REF!)</f>
        <v>0</v>
      </c>
      <c r="AO23" s="40">
        <f ca="1">SUMIFS(Adjustments!O$5:O$557,Adjustments!$B$5:$B$557,'Jul17-Jun18 Retail'!#REF!,Adjustments!$C$5:$C$557,'Jul17-Jun18 Retail'!#REF!)</f>
        <v>0</v>
      </c>
      <c r="AP23" s="40">
        <f ca="1">SUMIFS(Adjustments!P$5:P$557,Adjustments!$B$5:$B$557,'Jul17-Jun18 Retail'!#REF!,Adjustments!$C$5:$C$557,'Jul17-Jun18 Retail'!#REF!)</f>
        <v>0</v>
      </c>
      <c r="AQ23" s="28">
        <f t="shared" ca="1" si="68"/>
        <v>0</v>
      </c>
      <c r="AR23" s="28">
        <f t="shared" ca="1" si="84"/>
        <v>900</v>
      </c>
      <c r="AS23" s="28">
        <f t="shared" ca="1" si="69"/>
        <v>1138.95</v>
      </c>
      <c r="AT23" s="28">
        <f t="shared" ca="1" si="70"/>
        <v>74922.219678115565</v>
      </c>
      <c r="AU23" s="28">
        <f t="shared" si="85"/>
        <v>2750</v>
      </c>
      <c r="AV23" s="28">
        <f t="shared" si="86"/>
        <v>150</v>
      </c>
      <c r="AW23" s="35">
        <f t="shared" si="87"/>
        <v>0</v>
      </c>
      <c r="AX23" s="35">
        <f t="shared" si="88"/>
        <v>0</v>
      </c>
      <c r="AY23" s="35">
        <f t="shared" si="89"/>
        <v>0</v>
      </c>
      <c r="AZ23" s="35">
        <f t="shared" si="71"/>
        <v>10420.9330591286</v>
      </c>
      <c r="BA23" s="28">
        <f t="shared" ca="1" si="72"/>
        <v>0</v>
      </c>
      <c r="BB23" s="28"/>
      <c r="BC23" s="35">
        <f ca="1">ROUND(SUM(AQ23:BB23),2)</f>
        <v>90282.1</v>
      </c>
      <c r="BD23" s="35">
        <f t="shared" si="90"/>
        <v>90282.102729408492</v>
      </c>
      <c r="BE23" s="36">
        <f t="shared" ca="1" si="74"/>
        <v>1</v>
      </c>
      <c r="BF23" s="35">
        <f>SUMIFS('Fin Forecast'!$M$3:$M$600,'Fin Forecast'!$B$3:$B$600,'Jul17-Jun18 Transport'!$E23,'Fin Forecast'!$C$3:$C$600,'Jul17-Jun18 Transport'!$BF$5)*1000</f>
        <v>0</v>
      </c>
      <c r="BG23" s="35">
        <f>SUMIFS('Fin Forecast'!$M$3:$M$600,'Fin Forecast'!$B$3:$B$600,'Jul17-Jun18 Transport'!$E23,'Fin Forecast'!$C$3:$C$600,'Jul17-Jun18 Transport'!$BG$5)*1000</f>
        <v>0</v>
      </c>
      <c r="BH23" s="35"/>
      <c r="BI23" s="35">
        <f>SUMIFS('Fin Forecast'!$M$3:$M$600,'Fin Forecast'!$B$3:$B$600,'Jul17-Jun18 Transport'!$E23,'Fin Forecast'!$C$3:$C$600,'Jul17-Jun18 Transport'!$BI$5)*1000</f>
        <v>150</v>
      </c>
      <c r="BJ23" s="35">
        <f>SUMIFS('Fin Forecast'!$M$3:$M$600,'Fin Forecast'!$B$3:$B$600,'Jul17-Jun18 Transport'!$E23,'Fin Forecast'!$C$3:$C$600,'Jul17-Jun18 Transport'!$BJ$5)*1000</f>
        <v>2750</v>
      </c>
      <c r="BK23" s="35">
        <f>SUMIFS('Fin Forecast'!$M$3:$M$600,'Fin Forecast'!$B$3:$B$600,'Jul17-Jun18 Transport'!$E23,'Fin Forecast'!$C$3:$C$600,'Jul17-Jun18 Transport'!$BK$5)*1000</f>
        <v>900</v>
      </c>
      <c r="BL23" s="35">
        <f>SUMIFS('Fin Forecast'!$M$3:$M$600,'Fin Forecast'!$B$3:$B$600,'Jul17-Jun18 Transport'!$E23,'Fin Forecast'!$C$3:$C$600,'Jul17-Jun18 Transport'!$BL$5)*1000</f>
        <v>76061.169670279894</v>
      </c>
      <c r="BM23" s="35">
        <f>SUMIFS('Fin Forecast'!$M$3:$M$600,'Fin Forecast'!$B$3:$B$600,'Jul17-Jun18 Transport'!$E23,'Fin Forecast'!$C$3:$C$600,'Jul17-Jun18 Transport'!$BM$5)*1000</f>
        <v>0</v>
      </c>
      <c r="BN23" s="35">
        <f>SUMIFS('Fin Forecast'!$M$3:$M$600,'Fin Forecast'!$B$3:$B$600,'Jul17-Jun18 Transport'!$E23,'Fin Forecast'!$C$3:$C$600,'Jul17-Jun18 Transport'!$BN$5)*1000</f>
        <v>10420.9330591286</v>
      </c>
      <c r="BP23" s="44">
        <f t="shared" ca="1" si="75"/>
        <v>-2.7294084866298363E-3</v>
      </c>
      <c r="BR23" s="49">
        <f t="shared" ca="1" si="76"/>
        <v>0</v>
      </c>
      <c r="BS23" s="49">
        <f t="shared" ca="1" si="77"/>
        <v>7.8356679296121001E-6</v>
      </c>
      <c r="BT23" s="49">
        <f t="shared" si="78"/>
        <v>0</v>
      </c>
    </row>
    <row r="24" spans="2:72" ht="15" x14ac:dyDescent="0.25">
      <c r="C24" s="6">
        <f t="shared" si="91"/>
        <v>16</v>
      </c>
      <c r="D24" s="361">
        <f t="shared" si="92"/>
        <v>42979</v>
      </c>
      <c r="E24" s="361" t="s">
        <v>87</v>
      </c>
      <c r="F24" s="6" t="str">
        <f t="shared" si="79"/>
        <v>892</v>
      </c>
      <c r="G24" s="6" t="str">
        <f>VLOOKUP(E24,'Retail Rates'!$B$7:$D$34,3,FALSE)</f>
        <v>AAGS-I-TS-2</v>
      </c>
      <c r="H24" s="25">
        <f>SUMIF('Forcasted Customer Cts'!$D$5:$D$36,'Jul17-Jun18 Transport'!$E24,'Forcasted Customer Cts'!$R$5:$R$36)</f>
        <v>2</v>
      </c>
      <c r="I24" s="25"/>
      <c r="J24" s="25"/>
      <c r="K24" s="25">
        <f>SUMIF('Forecasted Calendar Month Usage'!$D$5:$D$41,'Jul17-Jun18 Transport'!$E24,'Forecasted Calendar Month Usage'!$Z$5:$Z$41)*10</f>
        <v>242930.27842465299</v>
      </c>
      <c r="L24" s="25"/>
      <c r="M24" s="25"/>
      <c r="N24" s="25"/>
      <c r="O24" s="26">
        <f>VLOOKUP($E24,'Retail Rates'!$B$7:$L$34,5,FALSE)</f>
        <v>400</v>
      </c>
      <c r="P24" s="26">
        <f>VLOOKUP($E24,'Retail Rates'!$B$7:$L$34,6,FALSE)</f>
        <v>0</v>
      </c>
      <c r="Q24" s="26">
        <f>VLOOKUP($E24,'Retail Rates'!$B$7:$L$34,9,FALSE)</f>
        <v>550</v>
      </c>
      <c r="R24" s="27">
        <f>VLOOKUP($E24,'Retail Rates'!$B$7:$L$34,7,FALSE)</f>
        <v>7.009E-2</v>
      </c>
      <c r="S24" s="27">
        <f>VLOOKUP($E24,'Retail Rates'!$B$7:$L$34,8,FALSE)</f>
        <v>0</v>
      </c>
      <c r="T24" s="309">
        <v>75</v>
      </c>
      <c r="U24" s="26">
        <f>VLOOKUP($E24,'Retail Rates'!$B$7:$L$34,11,FALSE)</f>
        <v>0</v>
      </c>
      <c r="V24" s="309"/>
      <c r="W24" s="309"/>
      <c r="X24" s="28">
        <f t="shared" ref="X24:X26" si="93">(+H24*O24)+(I24*O24)</f>
        <v>800</v>
      </c>
      <c r="Y24" s="28">
        <f t="shared" si="80"/>
        <v>0</v>
      </c>
      <c r="Z24" s="28">
        <f t="shared" ref="Z24:Z26" si="94">H24*Q24</f>
        <v>1100</v>
      </c>
      <c r="AA24" s="28">
        <f t="shared" si="66"/>
        <v>17026.98321478393</v>
      </c>
      <c r="AB24" s="28">
        <f t="shared" si="81"/>
        <v>0</v>
      </c>
      <c r="AC24" s="28">
        <f t="shared" si="82"/>
        <v>0</v>
      </c>
      <c r="AD24" s="28">
        <f t="shared" ref="AD24:AD26" si="95">H24*V24</f>
        <v>0</v>
      </c>
      <c r="AE24" s="28"/>
      <c r="AF24" s="28">
        <f t="shared" si="67"/>
        <v>0</v>
      </c>
      <c r="AG24" s="28"/>
      <c r="AH24" s="48">
        <f ca="1">SUMIFS(Adjustments!H$5:H$557,Adjustments!$B$5:$B$557,'Jul17-Jun18 Retail'!$D23,Adjustments!$C$5:$C$557,'Jul17-Jun18 Retail'!$E23)</f>
        <v>0</v>
      </c>
      <c r="AI24" s="48">
        <f ca="1">SUMIFS(Adjustments!I$5:I$557,Adjustments!$B$5:$B$557,'Jul17-Jun18 Retail'!$D23,Adjustments!$C$5:$C$557,'Jul17-Jun18 Retail'!$E23)</f>
        <v>0</v>
      </c>
      <c r="AJ24" s="40">
        <f ca="1">SUMIFS(Adjustments!J$5:J$557,Adjustments!$B$5:$B$557,'Jul17-Jun18 Retail'!$D23,Adjustments!$C$5:$C$557,'Jul17-Jun18 Retail'!$E23)</f>
        <v>0</v>
      </c>
      <c r="AK24" s="40">
        <f ca="1">SUMIFS(Adjustments!K$5:K$557,Adjustments!$B$5:$B$557,'Jul17-Jun18 Retail'!$D23,Adjustments!$C$5:$C$557,'Jul17-Jun18 Retail'!$E23)</f>
        <v>0</v>
      </c>
      <c r="AL24" s="40">
        <f ca="1">SUMIFS(Adjustments!L$5:L$557,Adjustments!$B$5:$B$557,'Jul17-Jun18 Retail'!$D23,Adjustments!$C$5:$C$557,'Jul17-Jun18 Retail'!$E23)</f>
        <v>0</v>
      </c>
      <c r="AM24" s="40">
        <f ca="1">SUMIFS(Adjustments!M$5:M$557,Adjustments!$B$5:$B$557,'Jul17-Jun18 Retail'!$D23,Adjustments!$C$5:$C$557,'Jul17-Jun18 Retail'!$E23)</f>
        <v>0</v>
      </c>
      <c r="AN24" s="40">
        <f ca="1">SUMIFS(Adjustments!N$5:N$557,Adjustments!$B$5:$B$557,'Jul17-Jun18 Retail'!$D23,Adjustments!$C$5:$C$557,'Jul17-Jun18 Retail'!$E23)</f>
        <v>0</v>
      </c>
      <c r="AO24" s="40">
        <f ca="1">SUMIFS(Adjustments!O$5:O$557,Adjustments!$B$5:$B$557,'Jul17-Jun18 Retail'!$D23,Adjustments!$C$5:$C$557,'Jul17-Jun18 Retail'!$E23)</f>
        <v>0</v>
      </c>
      <c r="AP24" s="40">
        <f ca="1">SUMIFS(Adjustments!P$5:P$557,Adjustments!$B$5:$B$557,'Jul17-Jun18 Retail'!$D23,Adjustments!$C$5:$C$557,'Jul17-Jun18 Retail'!$E23)</f>
        <v>0</v>
      </c>
      <c r="AQ24" s="28">
        <f t="shared" ca="1" si="68"/>
        <v>800</v>
      </c>
      <c r="AR24" s="28">
        <f t="shared" ca="1" si="84"/>
        <v>0</v>
      </c>
      <c r="AS24" s="28">
        <f t="shared" ca="1" si="69"/>
        <v>17026.98321478393</v>
      </c>
      <c r="AT24" s="28">
        <f t="shared" ca="1" si="70"/>
        <v>0</v>
      </c>
      <c r="AU24" s="28">
        <f t="shared" si="85"/>
        <v>1100</v>
      </c>
      <c r="AV24" s="28">
        <f t="shared" si="86"/>
        <v>0</v>
      </c>
      <c r="AW24" s="35">
        <f t="shared" si="87"/>
        <v>0</v>
      </c>
      <c r="AX24" s="35">
        <f t="shared" si="88"/>
        <v>0</v>
      </c>
      <c r="AY24" s="35">
        <f t="shared" si="89"/>
        <v>0</v>
      </c>
      <c r="AZ24" s="35">
        <f t="shared" si="71"/>
        <v>5440.7500531579499</v>
      </c>
      <c r="BA24" s="28">
        <f t="shared" ca="1" si="72"/>
        <v>0</v>
      </c>
      <c r="BB24" s="28"/>
      <c r="BC24" s="35">
        <f t="shared" ref="BC24:BC26" ca="1" si="96">ROUND(SUM(AQ24:BB24),2)</f>
        <v>24367.73</v>
      </c>
      <c r="BD24" s="35">
        <f t="shared" si="90"/>
        <v>24367.73326794185</v>
      </c>
      <c r="BE24" s="36">
        <f t="shared" ca="1" si="74"/>
        <v>1</v>
      </c>
      <c r="BF24" s="35">
        <f>SUMIFS('Fin Forecast'!$M$3:$M$600,'Fin Forecast'!$B$3:$B$600,'Jul17-Jun18 Transport'!$E24,'Fin Forecast'!$C$3:$C$600,'Jul17-Jun18 Transport'!$BF$5)*1000</f>
        <v>0</v>
      </c>
      <c r="BG24" s="35">
        <f>SUMIFS('Fin Forecast'!$M$3:$M$600,'Fin Forecast'!$B$3:$B$600,'Jul17-Jun18 Transport'!$E24,'Fin Forecast'!$C$3:$C$600,'Jul17-Jun18 Transport'!$BG$5)*1000</f>
        <v>0</v>
      </c>
      <c r="BH24" s="35"/>
      <c r="BI24" s="35">
        <f>SUMIFS('Fin Forecast'!$M$3:$M$600,'Fin Forecast'!$B$3:$B$600,'Jul17-Jun18 Transport'!$E24,'Fin Forecast'!$C$3:$C$600,'Jul17-Jun18 Transport'!$BI$5)*1000</f>
        <v>0</v>
      </c>
      <c r="BJ24" s="35">
        <f>SUMIFS('Fin Forecast'!$M$3:$M$600,'Fin Forecast'!$B$3:$B$600,'Jul17-Jun18 Transport'!$E24,'Fin Forecast'!$C$3:$C$600,'Jul17-Jun18 Transport'!$BJ$5)*1000</f>
        <v>1100</v>
      </c>
      <c r="BK24" s="35">
        <f>SUMIFS('Fin Forecast'!$M$3:$M$600,'Fin Forecast'!$B$3:$B$600,'Jul17-Jun18 Transport'!$E24,'Fin Forecast'!$C$3:$C$600,'Jul17-Jun18 Transport'!$BK$5)*1000</f>
        <v>800</v>
      </c>
      <c r="BL24" s="35">
        <f>SUMIFS('Fin Forecast'!$M$3:$M$600,'Fin Forecast'!$B$3:$B$600,'Jul17-Jun18 Transport'!$E24,'Fin Forecast'!$C$3:$C$600,'Jul17-Jun18 Transport'!$BL$5)*1000</f>
        <v>17026.983214783901</v>
      </c>
      <c r="BM24" s="35">
        <f>SUMIFS('Fin Forecast'!$M$3:$M$600,'Fin Forecast'!$B$3:$B$600,'Jul17-Jun18 Transport'!$E24,'Fin Forecast'!$C$3:$C$600,'Jul17-Jun18 Transport'!$BM$5)*1000</f>
        <v>0</v>
      </c>
      <c r="BN24" s="35">
        <f>SUMIFS('Fin Forecast'!$M$3:$M$600,'Fin Forecast'!$B$3:$B$600,'Jul17-Jun18 Transport'!$E24,'Fin Forecast'!$C$3:$C$600,'Jul17-Jun18 Transport'!$BN$5)*1000</f>
        <v>5440.7500531579499</v>
      </c>
      <c r="BP24" s="44">
        <f t="shared" ca="1" si="75"/>
        <v>-3.2679418509360403E-3</v>
      </c>
      <c r="BR24" s="49">
        <f t="shared" ca="1" si="76"/>
        <v>0</v>
      </c>
      <c r="BS24" s="49">
        <f t="shared" ca="1" si="77"/>
        <v>2.9103830456733704E-11</v>
      </c>
      <c r="BT24" s="49">
        <f t="shared" si="78"/>
        <v>0</v>
      </c>
    </row>
    <row r="25" spans="2:72" ht="15" x14ac:dyDescent="0.25">
      <c r="C25" s="6">
        <f t="shared" si="91"/>
        <v>17</v>
      </c>
      <c r="D25" s="361">
        <f t="shared" si="92"/>
        <v>42979</v>
      </c>
      <c r="E25" s="361" t="s">
        <v>51</v>
      </c>
      <c r="F25" s="6" t="str">
        <f t="shared" si="79"/>
        <v>997</v>
      </c>
      <c r="G25" s="6" t="str">
        <f>VLOOKUP(E25,'Retail Rates'!$B$7:$D$34,3,FALSE)</f>
        <v>SPC-P</v>
      </c>
      <c r="H25" s="25">
        <f>SUMIF('Forcasted Customer Cts'!$D$5:$D$36,'Jul17-Jun18 Transport'!$E25,'Forcasted Customer Cts'!$R$5:$R$36)</f>
        <v>0</v>
      </c>
      <c r="I25" s="25"/>
      <c r="J25" s="25"/>
      <c r="K25" s="25">
        <f>SUMIF('Forecasted Calendar Month Usage'!$D$5:$D$41,'Jul17-Jun18 Transport'!$E25,'Forecasted Calendar Month Usage'!$Z$5:$Z$41)</f>
        <v>0</v>
      </c>
      <c r="L25" s="25"/>
      <c r="M25" s="25"/>
      <c r="N25" s="25"/>
      <c r="O25" s="26">
        <f>VLOOKUP($E25,'Retail Rates'!$B$7:$L$34,5,FALSE)</f>
        <v>800</v>
      </c>
      <c r="P25" s="26">
        <f>VLOOKUP($E25,'Retail Rates'!$B$7:$L$34,6,FALSE)</f>
        <v>0</v>
      </c>
      <c r="Q25" s="26">
        <f>VLOOKUP($E25,'Retail Rates'!$B$7:$L$34,9,FALSE)</f>
        <v>0</v>
      </c>
      <c r="R25" s="27">
        <f>VLOOKUP($E25,'Retail Rates'!$B$7:$L$34,7,FALSE)</f>
        <v>4.9699999999999996E-3</v>
      </c>
      <c r="S25" s="27">
        <f>VLOOKUP($E25,'Retail Rates'!$B$7:$L$34,8,FALSE)</f>
        <v>0</v>
      </c>
      <c r="T25" s="309">
        <v>0</v>
      </c>
      <c r="U25" s="403">
        <f>VLOOKUP($E25,'Retail Rates'!$B$7:$L$34,11,FALSE)</f>
        <v>0.24801000000000001</v>
      </c>
      <c r="V25" s="27"/>
      <c r="W25" s="309"/>
      <c r="X25" s="28">
        <f t="shared" si="93"/>
        <v>0</v>
      </c>
      <c r="Y25" s="28">
        <f t="shared" si="80"/>
        <v>0</v>
      </c>
      <c r="Z25" s="28">
        <f t="shared" si="94"/>
        <v>0</v>
      </c>
      <c r="AA25" s="28">
        <f t="shared" si="66"/>
        <v>0</v>
      </c>
      <c r="AB25" s="28">
        <f t="shared" si="81"/>
        <v>0</v>
      </c>
      <c r="AC25" s="28">
        <f t="shared" si="82"/>
        <v>0</v>
      </c>
      <c r="AD25" s="28">
        <f t="shared" si="95"/>
        <v>0</v>
      </c>
      <c r="AE25" s="28"/>
      <c r="AF25" s="28">
        <f t="shared" si="67"/>
        <v>0</v>
      </c>
      <c r="AG25" s="28"/>
      <c r="AH25" s="48">
        <f ca="1">SUMIFS(Adjustments!H$5:H$557,Adjustments!$B$5:$B$557,'Jul17-Jun18 Retail'!#REF!,Adjustments!$C$5:$C$557,'Jul17-Jun18 Retail'!#REF!)</f>
        <v>0</v>
      </c>
      <c r="AI25" s="48">
        <f ca="1">SUMIFS(Adjustments!I$5:I$557,Adjustments!$B$5:$B$557,'Jul17-Jun18 Retail'!#REF!,Adjustments!$C$5:$C$557,'Jul17-Jun18 Retail'!#REF!)</f>
        <v>0</v>
      </c>
      <c r="AJ25" s="40">
        <f ca="1">SUMIFS(Adjustments!J$5:J$557,Adjustments!$B$5:$B$557,'Jul17-Jun18 Retail'!#REF!,Adjustments!$C$5:$C$557,'Jul17-Jun18 Retail'!#REF!)</f>
        <v>0</v>
      </c>
      <c r="AK25" s="40">
        <f ca="1">SUMIFS(Adjustments!K$5:K$557,Adjustments!$B$5:$B$557,'Jul17-Jun18 Retail'!#REF!,Adjustments!$C$5:$C$557,'Jul17-Jun18 Retail'!#REF!)</f>
        <v>0</v>
      </c>
      <c r="AL25" s="40">
        <f ca="1">SUMIFS(Adjustments!L$5:L$557,Adjustments!$B$5:$B$557,'Jul17-Jun18 Retail'!#REF!,Adjustments!$C$5:$C$557,'Jul17-Jun18 Retail'!#REF!)</f>
        <v>0</v>
      </c>
      <c r="AM25" s="40">
        <f ca="1">SUMIFS(Adjustments!M$5:M$557,Adjustments!$B$5:$B$557,'Jul17-Jun18 Retail'!#REF!,Adjustments!$C$5:$C$557,'Jul17-Jun18 Retail'!#REF!)</f>
        <v>0</v>
      </c>
      <c r="AN25" s="40">
        <f ca="1">SUMIFS(Adjustments!N$5:N$557,Adjustments!$B$5:$B$557,'Jul17-Jun18 Retail'!#REF!,Adjustments!$C$5:$C$557,'Jul17-Jun18 Retail'!#REF!)</f>
        <v>0</v>
      </c>
      <c r="AO25" s="40">
        <f ca="1">SUMIFS(Adjustments!O$5:O$557,Adjustments!$B$5:$B$557,'Jul17-Jun18 Retail'!#REF!,Adjustments!$C$5:$C$557,'Jul17-Jun18 Retail'!#REF!)</f>
        <v>0</v>
      </c>
      <c r="AP25" s="40">
        <f ca="1">SUMIFS(Adjustments!P$5:P$557,Adjustments!$B$5:$B$557,'Jul17-Jun18 Retail'!#REF!,Adjustments!$C$5:$C$557,'Jul17-Jun18 Retail'!#REF!)</f>
        <v>0</v>
      </c>
      <c r="AQ25" s="28">
        <f t="shared" ca="1" si="68"/>
        <v>0</v>
      </c>
      <c r="AR25" s="28">
        <f t="shared" ca="1" si="84"/>
        <v>0</v>
      </c>
      <c r="AS25" s="28">
        <f t="shared" ca="1" si="69"/>
        <v>0</v>
      </c>
      <c r="AT25" s="28">
        <f t="shared" ca="1" si="70"/>
        <v>0</v>
      </c>
      <c r="AU25" s="28">
        <f t="shared" si="85"/>
        <v>0</v>
      </c>
      <c r="AV25" s="28">
        <f t="shared" si="86"/>
        <v>0</v>
      </c>
      <c r="AW25" s="35">
        <f t="shared" si="87"/>
        <v>0</v>
      </c>
      <c r="AX25" s="35">
        <f t="shared" si="88"/>
        <v>0</v>
      </c>
      <c r="AY25" s="35">
        <f t="shared" si="89"/>
        <v>0</v>
      </c>
      <c r="AZ25" s="35">
        <f t="shared" si="71"/>
        <v>0</v>
      </c>
      <c r="BA25" s="28">
        <f t="shared" ca="1" si="72"/>
        <v>0</v>
      </c>
      <c r="BB25" s="28"/>
      <c r="BC25" s="35">
        <f t="shared" ca="1" si="96"/>
        <v>0</v>
      </c>
      <c r="BD25" s="35">
        <f t="shared" si="90"/>
        <v>0</v>
      </c>
      <c r="BE25" s="36">
        <f t="shared" si="74"/>
        <v>0</v>
      </c>
      <c r="BF25" s="35">
        <f>SUMIFS('Fin Forecast'!$M$3:$M$600,'Fin Forecast'!$B$3:$B$600,'Jul17-Jun18 Transport'!$E25,'Fin Forecast'!$C$3:$C$600,'Jul17-Jun18 Transport'!$BF$5)*1000</f>
        <v>0</v>
      </c>
      <c r="BG25" s="35">
        <f>SUMIFS('Fin Forecast'!$M$3:$M$600,'Fin Forecast'!$B$3:$B$600,'Jul17-Jun18 Transport'!$E25,'Fin Forecast'!$C$3:$C$600,'Jul17-Jun18 Transport'!$BG$5)*1000</f>
        <v>0</v>
      </c>
      <c r="BH25" s="35"/>
      <c r="BI25" s="35">
        <f>SUMIFS('Fin Forecast'!$M$3:$M$600,'Fin Forecast'!$B$3:$B$600,'Jul17-Jun18 Transport'!$E25,'Fin Forecast'!$C$3:$C$600,'Jul17-Jun18 Transport'!$BI$5)*1000</f>
        <v>0</v>
      </c>
      <c r="BJ25" s="35">
        <f>SUMIFS('Fin Forecast'!$M$3:$M$600,'Fin Forecast'!$B$3:$B$600,'Jul17-Jun18 Transport'!$E25,'Fin Forecast'!$C$3:$C$600,'Jul17-Jun18 Transport'!$BJ$5)*1000</f>
        <v>0</v>
      </c>
      <c r="BK25" s="35">
        <f>SUMIFS('Fin Forecast'!$M$3:$M$600,'Fin Forecast'!$B$3:$B$600,'Jul17-Jun18 Transport'!$E25,'Fin Forecast'!$C$3:$C$600,'Jul17-Jun18 Transport'!$BK$5)*1000</f>
        <v>0</v>
      </c>
      <c r="BL25" s="35">
        <f>SUMIFS('Fin Forecast'!$M$3:$M$600,'Fin Forecast'!$B$3:$B$600,'Jul17-Jun18 Transport'!$E25,'Fin Forecast'!$C$3:$C$600,'Jul17-Jun18 Transport'!$BL$5)*1000</f>
        <v>0</v>
      </c>
      <c r="BM25" s="35">
        <f>SUMIFS('Fin Forecast'!$M$3:$M$600,'Fin Forecast'!$B$3:$B$600,'Jul17-Jun18 Transport'!$E25,'Fin Forecast'!$C$3:$C$600,'Jul17-Jun18 Transport'!$BM$5)*1000</f>
        <v>0</v>
      </c>
      <c r="BN25" s="35">
        <f>SUMIFS('Fin Forecast'!$M$3:$M$600,'Fin Forecast'!$B$3:$B$600,'Jul17-Jun18 Transport'!$E25,'Fin Forecast'!$C$3:$C$600,'Jul17-Jun18 Transport'!$BN$5)*1000</f>
        <v>0</v>
      </c>
      <c r="BP25" s="44">
        <f t="shared" ca="1" si="75"/>
        <v>0</v>
      </c>
      <c r="BR25" s="49">
        <f t="shared" ca="1" si="76"/>
        <v>0</v>
      </c>
      <c r="BS25" s="49">
        <f t="shared" ca="1" si="77"/>
        <v>0</v>
      </c>
      <c r="BT25" s="49">
        <f t="shared" si="78"/>
        <v>0</v>
      </c>
    </row>
    <row r="26" spans="2:72" ht="15" customHeight="1" x14ac:dyDescent="0.25">
      <c r="C26" s="6">
        <f>C25+1</f>
        <v>18</v>
      </c>
      <c r="D26" s="361">
        <f t="shared" si="92"/>
        <v>42979</v>
      </c>
      <c r="E26" s="361" t="s">
        <v>34</v>
      </c>
      <c r="F26" s="6" t="str">
        <f t="shared" si="79"/>
        <v>996</v>
      </c>
      <c r="G26" s="6" t="s">
        <v>754</v>
      </c>
      <c r="H26" s="25">
        <f>SUMIF('Forcasted Customer Cts'!$D$5:$D$36,'Jul17-Jun18 Transport'!$E26,'Forcasted Customer Cts'!$R$5:$R$36)</f>
        <v>1</v>
      </c>
      <c r="I26" s="25"/>
      <c r="J26" s="25"/>
      <c r="K26" s="25">
        <f>SUMIF('Forecasted Calendar Month Usage'!$D$5:$D$41,'Jul17-Jun18 Transport'!$E26,'Forecasted Calendar Month Usage'!$Z$5:$Z$41)*10</f>
        <v>121918</v>
      </c>
      <c r="L26" s="25"/>
      <c r="M26" s="25"/>
      <c r="N26" s="25">
        <f>16560*10</f>
        <v>165600</v>
      </c>
      <c r="O26" s="26">
        <f>VLOOKUP($E26,'Retail Rates'!$B$7:$L$34,5,FALSE)</f>
        <v>180</v>
      </c>
      <c r="P26" s="26">
        <f>VLOOKUP($E26,'Retail Rates'!$B$7:$L$34,6,FALSE)</f>
        <v>0</v>
      </c>
      <c r="Q26" s="26">
        <f>VLOOKUP($E26,'Retail Rates'!$B$7:$L$34,9,FALSE)</f>
        <v>0</v>
      </c>
      <c r="R26" s="27">
        <f>VLOOKUP($E26,'Retail Rates'!$B$7:$L$34,7,FALSE)</f>
        <v>3.329E-2</v>
      </c>
      <c r="S26" s="27">
        <f>VLOOKUP($E26,'Retail Rates'!$B$7:$L$34,8,FALSE)</f>
        <v>0</v>
      </c>
      <c r="T26" s="309">
        <v>0</v>
      </c>
      <c r="U26" s="403">
        <f>VLOOKUP($E26,'Retail Rates'!$B$7:$L$34,11,FALSE)</f>
        <v>1.12629</v>
      </c>
      <c r="V26" s="27"/>
      <c r="W26" s="309"/>
      <c r="X26" s="28">
        <f t="shared" si="93"/>
        <v>180</v>
      </c>
      <c r="Y26" s="28">
        <f t="shared" si="80"/>
        <v>0</v>
      </c>
      <c r="Z26" s="28">
        <f t="shared" si="94"/>
        <v>0</v>
      </c>
      <c r="AA26" s="28">
        <f t="shared" si="66"/>
        <v>4058.65022</v>
      </c>
      <c r="AB26" s="28">
        <f t="shared" si="81"/>
        <v>0</v>
      </c>
      <c r="AC26" s="28">
        <f t="shared" si="82"/>
        <v>0</v>
      </c>
      <c r="AD26" s="28">
        <f t="shared" si="95"/>
        <v>0</v>
      </c>
      <c r="AE26" s="28"/>
      <c r="AF26" s="28">
        <f>N26*U26</f>
        <v>186513.62400000001</v>
      </c>
      <c r="AG26" s="28"/>
      <c r="AH26" s="48">
        <f ca="1">SUMIFS(Adjustments!H$5:H$557,Adjustments!$B$5:$B$557,'Jul17-Jun18 Retail'!$D24,Adjustments!$C$5:$C$557,'Jul17-Jun18 Retail'!$E24)</f>
        <v>0</v>
      </c>
      <c r="AI26" s="48">
        <f ca="1">SUMIFS(Adjustments!I$5:I$557,Adjustments!$B$5:$B$557,'Jul17-Jun18 Retail'!$D24,Adjustments!$C$5:$C$557,'Jul17-Jun18 Retail'!$E24)</f>
        <v>0</v>
      </c>
      <c r="AJ26" s="40">
        <f ca="1">SUMIFS(Adjustments!J$5:J$557,Adjustments!$B$5:$B$557,'Jul17-Jun18 Retail'!$D24,Adjustments!$C$5:$C$557,'Jul17-Jun18 Retail'!$E24)</f>
        <v>0</v>
      </c>
      <c r="AK26" s="40">
        <f ca="1">SUMIFS(Adjustments!K$5:K$557,Adjustments!$B$5:$B$557,'Jul17-Jun18 Retail'!$D24,Adjustments!$C$5:$C$557,'Jul17-Jun18 Retail'!$E24)</f>
        <v>0</v>
      </c>
      <c r="AL26" s="40">
        <f ca="1">SUMIFS(Adjustments!L$5:L$557,Adjustments!$B$5:$B$557,'Jul17-Jun18 Retail'!$D24,Adjustments!$C$5:$C$557,'Jul17-Jun18 Retail'!$E24)</f>
        <v>0</v>
      </c>
      <c r="AM26" s="40">
        <f ca="1">SUMIFS(Adjustments!M$5:M$557,Adjustments!$B$5:$B$557,'Jul17-Jun18 Retail'!$D24,Adjustments!$C$5:$C$557,'Jul17-Jun18 Retail'!$E24)</f>
        <v>0</v>
      </c>
      <c r="AN26" s="40">
        <f ca="1">SUMIFS(Adjustments!N$5:N$557,Adjustments!$B$5:$B$557,'Jul17-Jun18 Retail'!$D24,Adjustments!$C$5:$C$557,'Jul17-Jun18 Retail'!$E24)</f>
        <v>0</v>
      </c>
      <c r="AO26" s="40">
        <f ca="1">SUMIFS(Adjustments!O$5:O$557,Adjustments!$B$5:$B$557,'Jul17-Jun18 Retail'!$D24,Adjustments!$C$5:$C$557,'Jul17-Jun18 Retail'!$E24)</f>
        <v>0</v>
      </c>
      <c r="AP26" s="40">
        <f ca="1">SUMIFS(Adjustments!P$5:P$557,Adjustments!$B$5:$B$557,'Jul17-Jun18 Retail'!$D24,Adjustments!$C$5:$C$557,'Jul17-Jun18 Retail'!$E24)</f>
        <v>0</v>
      </c>
      <c r="AQ26" s="28">
        <f t="shared" ca="1" si="68"/>
        <v>180</v>
      </c>
      <c r="AR26" s="28">
        <f t="shared" ca="1" si="84"/>
        <v>0</v>
      </c>
      <c r="AS26" s="28">
        <f t="shared" ca="1" si="69"/>
        <v>4058.65022</v>
      </c>
      <c r="AT26" s="28">
        <f t="shared" ca="1" si="70"/>
        <v>0</v>
      </c>
      <c r="AU26" s="28">
        <f t="shared" si="85"/>
        <v>0</v>
      </c>
      <c r="AV26" s="28">
        <f t="shared" si="86"/>
        <v>0</v>
      </c>
      <c r="AW26" s="35">
        <f t="shared" si="87"/>
        <v>41990.266827330503</v>
      </c>
      <c r="AX26" s="35">
        <f t="shared" si="88"/>
        <v>0</v>
      </c>
      <c r="AY26" s="35">
        <f t="shared" si="89"/>
        <v>0</v>
      </c>
      <c r="AZ26" s="35">
        <f t="shared" si="71"/>
        <v>0</v>
      </c>
      <c r="BA26" s="28">
        <f t="shared" ca="1" si="72"/>
        <v>186513.62400000001</v>
      </c>
      <c r="BB26" s="28"/>
      <c r="BC26" s="35">
        <f t="shared" ca="1" si="96"/>
        <v>232742.54</v>
      </c>
      <c r="BD26" s="35">
        <f t="shared" si="90"/>
        <v>232742.54104733048</v>
      </c>
      <c r="BE26" s="36">
        <f t="shared" ca="1" si="74"/>
        <v>1</v>
      </c>
      <c r="BF26" s="35">
        <f>SUMIFS('Fin Forecast'!$M$3:$M$600,'Fin Forecast'!$B$3:$B$600,'Jul17-Jun18 Transport'!$E26,'Fin Forecast'!$C$3:$C$600,'Jul17-Jun18 Transport'!$BF$5)*1000</f>
        <v>0</v>
      </c>
      <c r="BG26" s="35">
        <f>SUMIFS('Fin Forecast'!$M$3:$M$600,'Fin Forecast'!$B$3:$B$600,'Jul17-Jun18 Transport'!$E26,'Fin Forecast'!$C$3:$C$600,'Jul17-Jun18 Transport'!$BG$5)*1000</f>
        <v>41990.266827330503</v>
      </c>
      <c r="BH26" s="35"/>
      <c r="BI26" s="35">
        <f>SUMIFS('Fin Forecast'!$M$3:$M$600,'Fin Forecast'!$B$3:$B$600,'Jul17-Jun18 Transport'!$E26,'Fin Forecast'!$C$3:$C$600,'Jul17-Jun18 Transport'!$BI$5)*1000</f>
        <v>0</v>
      </c>
      <c r="BJ26" s="35">
        <f>SUMIFS('Fin Forecast'!$M$3:$M$600,'Fin Forecast'!$B$3:$B$600,'Jul17-Jun18 Transport'!$E26,'Fin Forecast'!$C$3:$C$600,'Jul17-Jun18 Transport'!$BJ$5)*1000</f>
        <v>0</v>
      </c>
      <c r="BK26" s="35">
        <f>SUMIFS('Fin Forecast'!$M$3:$M$600,'Fin Forecast'!$B$3:$B$600,'Jul17-Jun18 Transport'!$E26,'Fin Forecast'!$C$3:$C$600,'Jul17-Jun18 Transport'!$BK$5)*1000</f>
        <v>180</v>
      </c>
      <c r="BL26" s="35">
        <f>SUMIFS('Fin Forecast'!$M$3:$M$600,'Fin Forecast'!$B$3:$B$600,'Jul17-Jun18 Transport'!$E26,'Fin Forecast'!$C$3:$C$600,'Jul17-Jun18 Transport'!$BL$5)*1000</f>
        <v>4058.6502199999995</v>
      </c>
      <c r="BM26" s="35">
        <f>SUMIFS('Fin Forecast'!$M$3:$M$600,'Fin Forecast'!$B$3:$B$600,'Jul17-Jun18 Transport'!$E26,'Fin Forecast'!$C$3:$C$600,'Jul17-Jun18 Transport'!$BM$5)*1000</f>
        <v>186513.62399999998</v>
      </c>
      <c r="BN26" s="35">
        <f>SUMIFS('Fin Forecast'!$M$3:$M$600,'Fin Forecast'!$B$3:$B$600,'Jul17-Jun18 Transport'!$E26,'Fin Forecast'!$C$3:$C$600,'Jul17-Jun18 Transport'!$BN$5)*1000</f>
        <v>0</v>
      </c>
      <c r="BP26" s="44">
        <f t="shared" ca="1" si="75"/>
        <v>-1.0473304719198495E-3</v>
      </c>
      <c r="BR26" s="49">
        <f t="shared" ca="1" si="76"/>
        <v>0</v>
      </c>
      <c r="BS26" s="49">
        <f t="shared" ca="1" si="77"/>
        <v>0</v>
      </c>
      <c r="BT26" s="49">
        <f t="shared" si="78"/>
        <v>0</v>
      </c>
    </row>
    <row r="27" spans="2:72" s="323" customFormat="1" ht="15" customHeight="1" x14ac:dyDescent="0.25">
      <c r="C27" s="324"/>
      <c r="D27" s="362"/>
      <c r="E27" s="362"/>
      <c r="F27" s="324"/>
      <c r="G27" s="324"/>
      <c r="H27" s="325"/>
      <c r="I27" s="325"/>
      <c r="J27" s="325"/>
      <c r="K27" s="325"/>
      <c r="L27" s="325"/>
      <c r="M27" s="325"/>
      <c r="N27" s="325"/>
      <c r="O27" s="326"/>
      <c r="P27" s="326"/>
      <c r="Q27" s="327"/>
      <c r="R27" s="327"/>
      <c r="S27" s="327"/>
      <c r="T27" s="326"/>
      <c r="U27" s="327"/>
      <c r="V27" s="326"/>
      <c r="W27" s="328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30"/>
      <c r="AI27" s="330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  <c r="AX27" s="329"/>
      <c r="AY27" s="329"/>
      <c r="AZ27" s="329"/>
      <c r="BA27" s="329"/>
      <c r="BB27" s="329"/>
      <c r="BC27" s="329"/>
      <c r="BD27" s="329"/>
      <c r="BE27" s="331"/>
      <c r="BF27" s="329"/>
      <c r="BG27" s="329"/>
      <c r="BH27" s="329"/>
      <c r="BI27" s="329"/>
      <c r="BJ27" s="329"/>
      <c r="BK27" s="329"/>
      <c r="BL27" s="329"/>
      <c r="BM27" s="329"/>
      <c r="BN27" s="329"/>
      <c r="BP27" s="329"/>
      <c r="BR27" s="329"/>
      <c r="BS27" s="329"/>
      <c r="BT27" s="329"/>
    </row>
    <row r="28" spans="2:72" ht="15" customHeight="1" x14ac:dyDescent="0.25">
      <c r="C28" s="6">
        <f>C26+1</f>
        <v>19</v>
      </c>
      <c r="D28" s="361">
        <f>EDATE(D21,1)</f>
        <v>43009</v>
      </c>
      <c r="E28" s="361" t="s">
        <v>41</v>
      </c>
      <c r="F28" s="6" t="str">
        <f>MID(E28,6,3)</f>
        <v>895</v>
      </c>
      <c r="G28" s="6" t="str">
        <f>VLOOKUP(E28,'Retail Rates'!$B$7:$D$34,3,FALSE)</f>
        <v>FT-C</v>
      </c>
      <c r="H28" s="25">
        <f>SUMIF('Forcasted Customer Cts'!$D$5:$D$36,'Jul17-Jun18 Transport'!$E28,'Forcasted Customer Cts'!$S$5:$S$36)</f>
        <v>73</v>
      </c>
      <c r="I28" s="25"/>
      <c r="J28" s="25"/>
      <c r="K28" s="25">
        <f>SUMIF('Forecasted Calendar Month Usage'!$D$5:$D$41,'Jul17-Jun18 Transport'!$E28,'Forecasted Calendar Month Usage'!$AA$5:$AA$41)*10</f>
        <v>11319790.608328255</v>
      </c>
      <c r="L28" s="25"/>
      <c r="M28" s="25">
        <v>69</v>
      </c>
      <c r="N28" s="25"/>
      <c r="O28" s="26">
        <f>VLOOKUP($E28,'Retail Rates'!$B$7:$L$34,5,FALSE)</f>
        <v>0</v>
      </c>
      <c r="P28" s="26">
        <f>VLOOKUP($E28,'Retail Rates'!$B$7:$L$34,6,FALSE)</f>
        <v>0</v>
      </c>
      <c r="Q28" s="26">
        <f>VLOOKUP($E28,'Retail Rates'!$B$7:$L$34,9,FALSE)</f>
        <v>550</v>
      </c>
      <c r="R28" s="27">
        <f>VLOOKUP($E28,'Retail Rates'!$B$7:$L$34,7,FALSE)</f>
        <v>4.3020000000000003E-2</v>
      </c>
      <c r="S28" s="27">
        <f>VLOOKUP($E28,'Retail Rates'!$B$7:$L$34,8,FALSE)</f>
        <v>0</v>
      </c>
      <c r="T28" s="309">
        <v>75</v>
      </c>
      <c r="U28" s="26">
        <f>VLOOKUP($E28,'Retail Rates'!$B$7:$L$34,11,FALSE)</f>
        <v>0</v>
      </c>
      <c r="V28" s="27"/>
      <c r="W28" s="309"/>
      <c r="X28" s="28">
        <f t="shared" ref="X28:X29" si="97">(+H28*O28)+(I28*O28)</f>
        <v>0</v>
      </c>
      <c r="Y28" s="28">
        <f>J28*P28</f>
        <v>0</v>
      </c>
      <c r="Z28" s="28">
        <f>H28*Q28</f>
        <v>40150</v>
      </c>
      <c r="AA28" s="28">
        <f t="shared" ref="AA28:AA33" si="98">+K28*R28</f>
        <v>486977.39197028155</v>
      </c>
      <c r="AB28" s="28">
        <f>+L28*S28</f>
        <v>0</v>
      </c>
      <c r="AC28" s="28">
        <f>M28*T28</f>
        <v>5175</v>
      </c>
      <c r="AD28" s="28">
        <f>H28*V28</f>
        <v>0</v>
      </c>
      <c r="AE28" s="28"/>
      <c r="AF28" s="28">
        <f t="shared" ref="AF28:AF32" si="99">N28*U28</f>
        <v>0</v>
      </c>
      <c r="AG28" s="28"/>
      <c r="AH28" s="48">
        <f ca="1">SUMIFS(Adjustments!H$5:H$557,Adjustments!$B$5:$B$557,'Jul17-Jun18 Retail'!$D28,Adjustments!$C$5:$C$557,'Jul17-Jun18 Retail'!$E28)</f>
        <v>0</v>
      </c>
      <c r="AI28" s="48">
        <f ca="1">SUMIFS(Adjustments!I$5:I$557,Adjustments!$B$5:$B$557,'Jul17-Jun18 Retail'!$D28,Adjustments!$C$5:$C$557,'Jul17-Jun18 Retail'!$E28)</f>
        <v>0</v>
      </c>
      <c r="AJ28" s="40">
        <f ca="1">SUMIFS(Adjustments!J$5:J$557,Adjustments!$B$5:$B$557,'Jul17-Jun18 Retail'!$D28,Adjustments!$C$5:$C$557,'Jul17-Jun18 Retail'!$E28)</f>
        <v>0</v>
      </c>
      <c r="AK28" s="40">
        <f ca="1">SUMIFS(Adjustments!K$5:K$557,Adjustments!$B$5:$B$557,'Jul17-Jun18 Retail'!$D28,Adjustments!$C$5:$C$557,'Jul17-Jun18 Retail'!$E28)</f>
        <v>0</v>
      </c>
      <c r="AL28" s="40">
        <f ca="1">SUMIFS(Adjustments!L$5:L$557,Adjustments!$B$5:$B$557,'Jul17-Jun18 Retail'!$D28,Adjustments!$C$5:$C$557,'Jul17-Jun18 Retail'!$E28)</f>
        <v>0</v>
      </c>
      <c r="AM28" s="40">
        <f ca="1">SUMIFS(Adjustments!M$5:M$557,Adjustments!$B$5:$B$557,'Jul17-Jun18 Retail'!$D28,Adjustments!$C$5:$C$557,'Jul17-Jun18 Retail'!$E28)</f>
        <v>0</v>
      </c>
      <c r="AN28" s="40">
        <f ca="1">SUMIFS(Adjustments!N$5:N$557,Adjustments!$B$5:$B$557,'Jul17-Jun18 Retail'!$D28,Adjustments!$C$5:$C$557,'Jul17-Jun18 Retail'!$E28)</f>
        <v>0</v>
      </c>
      <c r="AO28" s="40">
        <f ca="1">SUMIFS(Adjustments!O$5:O$557,Adjustments!$B$5:$B$557,'Jul17-Jun18 Retail'!$D28,Adjustments!$C$5:$C$557,'Jul17-Jun18 Retail'!$E28)</f>
        <v>0</v>
      </c>
      <c r="AP28" s="40">
        <f ca="1">SUMIFS(Adjustments!P$5:P$557,Adjustments!$B$5:$B$557,'Jul17-Jun18 Retail'!$D28,Adjustments!$C$5:$C$557,'Jul17-Jun18 Retail'!$E28)</f>
        <v>0</v>
      </c>
      <c r="AQ28" s="28">
        <f t="shared" ref="AQ28:AQ33" ca="1" si="100">+X28+AJ28+(AH28*O28)</f>
        <v>0</v>
      </c>
      <c r="AR28" s="28">
        <f ca="1">+Y28+AK28</f>
        <v>0</v>
      </c>
      <c r="AS28" s="28">
        <f t="shared" ref="AS28:AS33" ca="1" si="101">+AA28+AL28</f>
        <v>486977.39197028155</v>
      </c>
      <c r="AT28" s="28">
        <f t="shared" ref="AT28:AT33" ca="1" si="102">+AB28+AM28</f>
        <v>0</v>
      </c>
      <c r="AU28" s="28">
        <f>Z28</f>
        <v>40150</v>
      </c>
      <c r="AV28" s="28">
        <f>AC28</f>
        <v>5175</v>
      </c>
      <c r="AW28" s="35">
        <f>BG28</f>
        <v>0</v>
      </c>
      <c r="AX28" s="35">
        <f>BF28</f>
        <v>271421.58516034391</v>
      </c>
      <c r="AY28" s="35">
        <f>BH28</f>
        <v>0</v>
      </c>
      <c r="AZ28" s="35">
        <f t="shared" ref="AZ28:AZ33" si="103">BN28</f>
        <v>0</v>
      </c>
      <c r="BA28" s="28">
        <f t="shared" ref="BA28:BA33" ca="1" si="104">+AF28+AP28</f>
        <v>0</v>
      </c>
      <c r="BB28" s="28"/>
      <c r="BC28" s="35">
        <f t="shared" ref="BC28:BC29" ca="1" si="105">ROUND(SUM(AQ28:BB28),2)</f>
        <v>803723.98</v>
      </c>
      <c r="BD28" s="35">
        <f>SUM(BF28:BN28)</f>
        <v>803723.97708165692</v>
      </c>
      <c r="BE28" s="36">
        <f t="shared" ref="BE28:BE33" ca="1" si="106">IF(BD28=0,0,ROUND(BD28/BC28,6))</f>
        <v>1</v>
      </c>
      <c r="BF28" s="35">
        <f>SUMIFS('Fin Forecast'!$N$3:$N$600,'Fin Forecast'!$B$3:$B$600,'Jul17-Jun18 Transport'!$E28,'Fin Forecast'!$C$3:$C$600,'Jul17-Jun18 Transport'!$BF$5)*1000</f>
        <v>271421.58516034391</v>
      </c>
      <c r="BG28" s="35">
        <f>SUMIFS('Fin Forecast'!$N$3:$N$600,'Fin Forecast'!$B$3:$B$600,'Jul17-Jun18 Transport'!$E28,'Fin Forecast'!$C$3:$C$600,'Jul17-Jun18 Transport'!$BG$5)*1000</f>
        <v>0</v>
      </c>
      <c r="BH28" s="35"/>
      <c r="BI28" s="35">
        <f>SUMIFS('Fin Forecast'!$N$3:$N$600,'Fin Forecast'!$B$3:$B$600,'Jul17-Jun18 Transport'!$E28,'Fin Forecast'!$C$3:$C$600,'Jul17-Jun18 Transport'!$BI$5)*1000</f>
        <v>5175</v>
      </c>
      <c r="BJ28" s="35">
        <f>SUMIFS('Fin Forecast'!$N$3:$N$600,'Fin Forecast'!$B$3:$B$600,'Jul17-Jun18 Transport'!$E28,'Fin Forecast'!$C$3:$C$600,'Jul17-Jun18 Transport'!$BJ$5)*1000</f>
        <v>40150</v>
      </c>
      <c r="BK28" s="35">
        <f>SUMIFS('Fin Forecast'!$N$3:$N$600,'Fin Forecast'!$B$3:$B$600,'Jul17-Jun18 Transport'!$E28,'Fin Forecast'!$C$3:$C$600,'Jul17-Jun18 Transport'!$BK$5)*1000</f>
        <v>0</v>
      </c>
      <c r="BL28" s="35">
        <f>SUMIFS('Fin Forecast'!$N$3:$N$600,'Fin Forecast'!$B$3:$B$600,'Jul17-Jun18 Transport'!$E28,'Fin Forecast'!$C$3:$C$600,'Jul17-Jun18 Transport'!$BL$5)*1000</f>
        <v>486977.39192131296</v>
      </c>
      <c r="BM28" s="35">
        <f>SUMIFS('Fin Forecast'!$N$3:$N$600,'Fin Forecast'!$B$3:$B$600,'Jul17-Jun18 Transport'!$E28,'Fin Forecast'!$C$3:$C$600,'Jul17-Jun18 Transport'!$BM$5)*1000</f>
        <v>0</v>
      </c>
      <c r="BN28" s="35">
        <f>SUMIFS('Fin Forecast'!$N$3:$N$600,'Fin Forecast'!$B$3:$B$600,'Jul17-Jun18 Transport'!$E28,'Fin Forecast'!$C$3:$C$600,'Jul17-Jun18 Transport'!$BN$5)*1000</f>
        <v>0</v>
      </c>
      <c r="BP28" s="44">
        <f t="shared" ref="BP28:BP33" ca="1" si="107">+BC28-BD28</f>
        <v>2.9183430597186089E-3</v>
      </c>
      <c r="BR28" s="49">
        <f t="shared" ref="BR28:BR33" ca="1" si="108">+AQ28+AR28-BK28</f>
        <v>0</v>
      </c>
      <c r="BS28" s="49">
        <f t="shared" ref="BS28:BS33" ca="1" si="109">+AS28+AT28-BL28</f>
        <v>4.896859172731638E-5</v>
      </c>
      <c r="BT28" s="49">
        <f t="shared" ref="BT28:BT33" si="110">+AW28-BG28</f>
        <v>0</v>
      </c>
    </row>
    <row r="29" spans="2:72" ht="15" customHeight="1" x14ac:dyDescent="0.25">
      <c r="C29" s="6">
        <f>C28+1</f>
        <v>20</v>
      </c>
      <c r="D29" s="361">
        <f>$D$28</f>
        <v>43009</v>
      </c>
      <c r="E29" s="361" t="s">
        <v>43</v>
      </c>
      <c r="F29" s="6" t="str">
        <f t="shared" ref="F29:F33" si="111">MID(E29,6,3)</f>
        <v>896</v>
      </c>
      <c r="G29" s="6" t="str">
        <f>VLOOKUP(E29,'Retail Rates'!$B$7:$D$34,3,FALSE)</f>
        <v>FT-I</v>
      </c>
      <c r="H29" s="25">
        <f>SUMIF('Forcasted Customer Cts'!$D$5:$D$36,'Jul17-Jun18 Transport'!$E29,'Forcasted Customer Cts'!$S$5:$S$36)</f>
        <v>0</v>
      </c>
      <c r="I29" s="25"/>
      <c r="J29" s="25"/>
      <c r="K29" s="25">
        <f>SUMIF('Forecasted Calendar Month Usage'!$D$5:$D$41,'Jul17-Jun18 Transport'!$E29,'Forecasted Calendar Month Usage'!$AA$5:$AA$41)*10</f>
        <v>0</v>
      </c>
      <c r="L29" s="25"/>
      <c r="M29" s="25"/>
      <c r="N29" s="25"/>
      <c r="O29" s="26">
        <f>VLOOKUP($E29,'Retail Rates'!$B$7:$L$34,5,FALSE)</f>
        <v>0</v>
      </c>
      <c r="P29" s="26">
        <f>VLOOKUP($E29,'Retail Rates'!$B$7:$L$34,6,FALSE)</f>
        <v>0</v>
      </c>
      <c r="Q29" s="26">
        <f>VLOOKUP($E29,'Retail Rates'!$B$7:$L$34,9,FALSE)</f>
        <v>550</v>
      </c>
      <c r="R29" s="27">
        <f>VLOOKUP($E29,'Retail Rates'!$B$7:$L$34,7,FALSE)</f>
        <v>4.3020000000000003E-2</v>
      </c>
      <c r="S29" s="27">
        <f>VLOOKUP($E29,'Retail Rates'!$B$7:$L$34,8,FALSE)</f>
        <v>0</v>
      </c>
      <c r="T29" s="309">
        <v>75</v>
      </c>
      <c r="U29" s="26">
        <f>VLOOKUP($E29,'Retail Rates'!$B$7:$L$34,11,FALSE)</f>
        <v>0</v>
      </c>
      <c r="V29" s="27"/>
      <c r="W29" s="309"/>
      <c r="X29" s="28">
        <f t="shared" si="97"/>
        <v>0</v>
      </c>
      <c r="Y29" s="28">
        <f t="shared" ref="Y29:Y33" si="112">J29*P29</f>
        <v>0</v>
      </c>
      <c r="Z29" s="28">
        <f>H29*Q29</f>
        <v>0</v>
      </c>
      <c r="AA29" s="28">
        <f t="shared" si="98"/>
        <v>0</v>
      </c>
      <c r="AB29" s="28">
        <f t="shared" ref="AB29:AB33" si="113">+L29*S29</f>
        <v>0</v>
      </c>
      <c r="AC29" s="28">
        <f t="shared" ref="AC29:AC33" si="114">M29*T29</f>
        <v>0</v>
      </c>
      <c r="AD29" s="28">
        <f t="shared" ref="AD29" si="115">H29*V29</f>
        <v>0</v>
      </c>
      <c r="AE29" s="28"/>
      <c r="AF29" s="28">
        <f t="shared" si="99"/>
        <v>0</v>
      </c>
      <c r="AG29" s="28"/>
      <c r="AH29" s="48">
        <f ca="1">SUMIFS(Adjustments!H$5:H$557,Adjustments!$B$5:$B$557,'Jul17-Jun18 Retail'!$D29,Adjustments!$C$5:$C$557,'Jul17-Jun18 Retail'!$E29)</f>
        <v>0</v>
      </c>
      <c r="AI29" s="48">
        <f ca="1">SUMIFS(Adjustments!I$5:I$557,Adjustments!$B$5:$B$557,'Jul17-Jun18 Retail'!$D29,Adjustments!$C$5:$C$557,'Jul17-Jun18 Retail'!$E29)</f>
        <v>0</v>
      </c>
      <c r="AJ29" s="40">
        <f ca="1">SUMIFS(Adjustments!J$5:J$557,Adjustments!$B$5:$B$557,'Jul17-Jun18 Retail'!$D29,Adjustments!$C$5:$C$557,'Jul17-Jun18 Retail'!$E29)</f>
        <v>0</v>
      </c>
      <c r="AK29" s="40">
        <f ca="1">SUMIFS(Adjustments!K$5:K$557,Adjustments!$B$5:$B$557,'Jul17-Jun18 Retail'!$D29,Adjustments!$C$5:$C$557,'Jul17-Jun18 Retail'!$E29)</f>
        <v>0</v>
      </c>
      <c r="AL29" s="40">
        <f ca="1">SUMIFS(Adjustments!L$5:L$557,Adjustments!$B$5:$B$557,'Jul17-Jun18 Retail'!$D29,Adjustments!$C$5:$C$557,'Jul17-Jun18 Retail'!$E29)</f>
        <v>0</v>
      </c>
      <c r="AM29" s="40">
        <f ca="1">SUMIFS(Adjustments!M$5:M$557,Adjustments!$B$5:$B$557,'Jul17-Jun18 Retail'!$D29,Adjustments!$C$5:$C$557,'Jul17-Jun18 Retail'!$E29)</f>
        <v>0</v>
      </c>
      <c r="AN29" s="40">
        <f ca="1">SUMIFS(Adjustments!N$5:N$557,Adjustments!$B$5:$B$557,'Jul17-Jun18 Retail'!$D29,Adjustments!$C$5:$C$557,'Jul17-Jun18 Retail'!$E29)</f>
        <v>0</v>
      </c>
      <c r="AO29" s="40">
        <f ca="1">SUMIFS(Adjustments!O$5:O$557,Adjustments!$B$5:$B$557,'Jul17-Jun18 Retail'!$D29,Adjustments!$C$5:$C$557,'Jul17-Jun18 Retail'!$E29)</f>
        <v>0</v>
      </c>
      <c r="AP29" s="40">
        <f ca="1">SUMIFS(Adjustments!P$5:P$557,Adjustments!$B$5:$B$557,'Jul17-Jun18 Retail'!$D29,Adjustments!$C$5:$C$557,'Jul17-Jun18 Retail'!$E29)</f>
        <v>0</v>
      </c>
      <c r="AQ29" s="28">
        <f t="shared" ca="1" si="100"/>
        <v>0</v>
      </c>
      <c r="AR29" s="28">
        <f t="shared" ref="AR29:AR33" ca="1" si="116">+Y29+AK29</f>
        <v>0</v>
      </c>
      <c r="AS29" s="28">
        <f t="shared" ca="1" si="101"/>
        <v>0</v>
      </c>
      <c r="AT29" s="28">
        <f t="shared" ca="1" si="102"/>
        <v>0</v>
      </c>
      <c r="AU29" s="28">
        <f t="shared" ref="AU29:AU33" si="117">Z29</f>
        <v>0</v>
      </c>
      <c r="AV29" s="28">
        <f t="shared" ref="AV29:AV33" si="118">AC29</f>
        <v>0</v>
      </c>
      <c r="AW29" s="35">
        <f t="shared" ref="AW29:AW33" si="119">BG29</f>
        <v>0</v>
      </c>
      <c r="AX29" s="35">
        <f t="shared" ref="AX29:AX33" si="120">BF29</f>
        <v>0</v>
      </c>
      <c r="AY29" s="35">
        <f t="shared" ref="AY29:AY33" si="121">BH29</f>
        <v>0</v>
      </c>
      <c r="AZ29" s="35">
        <f t="shared" si="103"/>
        <v>0</v>
      </c>
      <c r="BA29" s="28">
        <f t="shared" ca="1" si="104"/>
        <v>0</v>
      </c>
      <c r="BB29" s="28"/>
      <c r="BC29" s="35">
        <f t="shared" ca="1" si="105"/>
        <v>0</v>
      </c>
      <c r="BD29" s="35">
        <f t="shared" ref="BD29:BD33" si="122">SUM(BF29:BN29)</f>
        <v>0</v>
      </c>
      <c r="BE29" s="36">
        <f t="shared" si="106"/>
        <v>0</v>
      </c>
      <c r="BF29" s="35">
        <f>SUMIFS('Fin Forecast'!$N$3:$N$600,'Fin Forecast'!$B$3:$B$600,'Jul17-Jun18 Transport'!$E29,'Fin Forecast'!$C$3:$C$600,'Jul17-Jun18 Transport'!$BF$5)*1000</f>
        <v>0</v>
      </c>
      <c r="BG29" s="35">
        <f>SUMIFS('Fin Forecast'!$N$3:$N$600,'Fin Forecast'!$B$3:$B$600,'Jul17-Jun18 Transport'!$E29,'Fin Forecast'!$C$3:$C$600,'Jul17-Jun18 Transport'!$BG$5)*1000</f>
        <v>0</v>
      </c>
      <c r="BH29" s="35"/>
      <c r="BI29" s="35">
        <f>SUMIFS('Fin Forecast'!$N$3:$N$600,'Fin Forecast'!$B$3:$B$600,'Jul17-Jun18 Transport'!$E29,'Fin Forecast'!$C$3:$C$600,'Jul17-Jun18 Transport'!$BI$5)*1000</f>
        <v>0</v>
      </c>
      <c r="BJ29" s="35">
        <f>SUMIFS('Fin Forecast'!$N$3:$N$600,'Fin Forecast'!$B$3:$B$600,'Jul17-Jun18 Transport'!$E29,'Fin Forecast'!$C$3:$C$600,'Jul17-Jun18 Transport'!$BJ$5)*1000</f>
        <v>0</v>
      </c>
      <c r="BK29" s="35">
        <f>SUMIFS('Fin Forecast'!$N$3:$N$600,'Fin Forecast'!$B$3:$B$600,'Jul17-Jun18 Transport'!$E29,'Fin Forecast'!$C$3:$C$600,'Jul17-Jun18 Transport'!$BK$5)*1000</f>
        <v>0</v>
      </c>
      <c r="BL29" s="35">
        <f>SUMIFS('Fin Forecast'!$N$3:$N$600,'Fin Forecast'!$B$3:$B$600,'Jul17-Jun18 Transport'!$E29,'Fin Forecast'!$C$3:$C$600,'Jul17-Jun18 Transport'!$BL$5)*1000</f>
        <v>0</v>
      </c>
      <c r="BM29" s="35">
        <f>SUMIFS('Fin Forecast'!$N$3:$N$600,'Fin Forecast'!$B$3:$B$600,'Jul17-Jun18 Transport'!$E29,'Fin Forecast'!$C$3:$C$600,'Jul17-Jun18 Transport'!$BM$5)*1000</f>
        <v>0</v>
      </c>
      <c r="BN29" s="35">
        <f>SUMIFS('Fin Forecast'!$N$3:$N$600,'Fin Forecast'!$B$3:$B$600,'Jul17-Jun18 Transport'!$E29,'Fin Forecast'!$C$3:$C$600,'Jul17-Jun18 Transport'!$BN$5)*1000</f>
        <v>0</v>
      </c>
      <c r="BP29" s="44">
        <f t="shared" ca="1" si="107"/>
        <v>0</v>
      </c>
      <c r="BR29" s="49">
        <f t="shared" ca="1" si="108"/>
        <v>0</v>
      </c>
      <c r="BS29" s="49">
        <f t="shared" ca="1" si="109"/>
        <v>0</v>
      </c>
      <c r="BT29" s="49">
        <f t="shared" si="110"/>
        <v>0</v>
      </c>
    </row>
    <row r="30" spans="2:72" ht="15" x14ac:dyDescent="0.25">
      <c r="B30" s="13" t="s">
        <v>444</v>
      </c>
      <c r="C30" s="6">
        <f t="shared" ref="C30:C40" si="123">C29+1</f>
        <v>21</v>
      </c>
      <c r="D30" s="361">
        <f t="shared" ref="D30:D33" si="124">$D$28</f>
        <v>43009</v>
      </c>
      <c r="E30" s="361" t="s">
        <v>31</v>
      </c>
      <c r="F30" s="6" t="str">
        <f t="shared" si="111"/>
        <v>882</v>
      </c>
      <c r="G30" s="6" t="str">
        <f>VLOOKUP(E30,'Retail Rates'!$B$7:$D$34,3,FALSE)</f>
        <v>IGS-TS-2</v>
      </c>
      <c r="H30" s="25"/>
      <c r="I30" s="25"/>
      <c r="J30" s="25">
        <f>SUMIFS('Forcasted Customer Cts'!$S$5:$S$36,'Forcasted Customer Cts'!$D$5:$D$36,$E30,'Forcasted Customer Cts'!$C$5:$C$36,$B30)</f>
        <v>5</v>
      </c>
      <c r="K30" s="25">
        <v>5000</v>
      </c>
      <c r="L30" s="25">
        <f>(SUMIF('Forecasted Calendar Month Usage'!$D$5:$D$41,'Jul17-Jun18 Transport'!$E30,'Forecasted Calendar Month Usage'!$AA$5:$AA$41)*10)-K30</f>
        <v>671405.84847279731</v>
      </c>
      <c r="M30" s="25">
        <v>2</v>
      </c>
      <c r="N30" s="25"/>
      <c r="O30" s="26">
        <f>VLOOKUP($E30,'Retail Rates'!$B$7:$L$34,5,FALSE)</f>
        <v>40</v>
      </c>
      <c r="P30" s="26">
        <f>VLOOKUP($E30,'Retail Rates'!$B$7:$L$34,6,FALSE)</f>
        <v>180</v>
      </c>
      <c r="Q30" s="26">
        <f>VLOOKUP($E30,'Retail Rates'!$B$7:$L$34,9,FALSE)</f>
        <v>550</v>
      </c>
      <c r="R30" s="27">
        <f>VLOOKUP($E30,'Retail Rates'!$B$7:$L$34,7,FALSE)</f>
        <v>0.22778999999999999</v>
      </c>
      <c r="S30" s="27">
        <f>VLOOKUP($E30,'Retail Rates'!$B$7:$L$34,8,FALSE)</f>
        <v>0.17779</v>
      </c>
      <c r="T30" s="309">
        <v>75</v>
      </c>
      <c r="U30" s="26">
        <f>VLOOKUP($E30,'Retail Rates'!$B$7:$L$34,11,FALSE)</f>
        <v>0</v>
      </c>
      <c r="V30" s="309"/>
      <c r="W30" s="309"/>
      <c r="X30" s="28">
        <f>(+H30*O30)+(I30*O30)</f>
        <v>0</v>
      </c>
      <c r="Y30" s="28">
        <f t="shared" si="112"/>
        <v>900</v>
      </c>
      <c r="Z30" s="28">
        <f>(I30+J30)*Q30</f>
        <v>2750</v>
      </c>
      <c r="AA30" s="28">
        <f t="shared" si="98"/>
        <v>1138.95</v>
      </c>
      <c r="AB30" s="28">
        <f t="shared" si="113"/>
        <v>119369.24579997864</v>
      </c>
      <c r="AC30" s="28">
        <f t="shared" si="114"/>
        <v>150</v>
      </c>
      <c r="AD30" s="28">
        <f>(I30+J30)*V30</f>
        <v>0</v>
      </c>
      <c r="AE30" s="28"/>
      <c r="AF30" s="28">
        <f t="shared" si="99"/>
        <v>0</v>
      </c>
      <c r="AG30" s="28"/>
      <c r="AH30" s="48">
        <f ca="1">SUMIFS(Adjustments!H$5:H$557,Adjustments!$B$5:$B$557,'Jul17-Jun18 Retail'!#REF!,Adjustments!$C$5:$C$557,'Jul17-Jun18 Retail'!#REF!)</f>
        <v>0</v>
      </c>
      <c r="AI30" s="48">
        <f ca="1">SUMIFS(Adjustments!I$5:I$557,Adjustments!$B$5:$B$557,'Jul17-Jun18 Retail'!#REF!,Adjustments!$C$5:$C$557,'Jul17-Jun18 Retail'!#REF!)</f>
        <v>0</v>
      </c>
      <c r="AJ30" s="40">
        <f ca="1">SUMIFS(Adjustments!J$5:J$557,Adjustments!$B$5:$B$557,'Jul17-Jun18 Retail'!#REF!,Adjustments!$C$5:$C$557,'Jul17-Jun18 Retail'!#REF!)</f>
        <v>0</v>
      </c>
      <c r="AK30" s="40">
        <f ca="1">SUMIFS(Adjustments!K$5:K$557,Adjustments!$B$5:$B$557,'Jul17-Jun18 Retail'!#REF!,Adjustments!$C$5:$C$557,'Jul17-Jun18 Retail'!#REF!)</f>
        <v>0</v>
      </c>
      <c r="AL30" s="40">
        <f ca="1">SUMIFS(Adjustments!L$5:L$557,Adjustments!$B$5:$B$557,'Jul17-Jun18 Retail'!#REF!,Adjustments!$C$5:$C$557,'Jul17-Jun18 Retail'!#REF!)</f>
        <v>0</v>
      </c>
      <c r="AM30" s="40">
        <f ca="1">SUMIFS(Adjustments!M$5:M$557,Adjustments!$B$5:$B$557,'Jul17-Jun18 Retail'!#REF!,Adjustments!$C$5:$C$557,'Jul17-Jun18 Retail'!#REF!)</f>
        <v>0</v>
      </c>
      <c r="AN30" s="40">
        <f ca="1">SUMIFS(Adjustments!N$5:N$557,Adjustments!$B$5:$B$557,'Jul17-Jun18 Retail'!#REF!,Adjustments!$C$5:$C$557,'Jul17-Jun18 Retail'!#REF!)</f>
        <v>0</v>
      </c>
      <c r="AO30" s="40">
        <f ca="1">SUMIFS(Adjustments!O$5:O$557,Adjustments!$B$5:$B$557,'Jul17-Jun18 Retail'!#REF!,Adjustments!$C$5:$C$557,'Jul17-Jun18 Retail'!#REF!)</f>
        <v>0</v>
      </c>
      <c r="AP30" s="40">
        <f ca="1">SUMIFS(Adjustments!P$5:P$557,Adjustments!$B$5:$B$557,'Jul17-Jun18 Retail'!#REF!,Adjustments!$C$5:$C$557,'Jul17-Jun18 Retail'!#REF!)</f>
        <v>0</v>
      </c>
      <c r="AQ30" s="28">
        <f t="shared" ca="1" si="100"/>
        <v>0</v>
      </c>
      <c r="AR30" s="28">
        <f t="shared" ca="1" si="116"/>
        <v>900</v>
      </c>
      <c r="AS30" s="28">
        <f t="shared" ca="1" si="101"/>
        <v>1138.95</v>
      </c>
      <c r="AT30" s="28">
        <f t="shared" ca="1" si="102"/>
        <v>119369.24579997864</v>
      </c>
      <c r="AU30" s="28">
        <f t="shared" si="117"/>
        <v>2750</v>
      </c>
      <c r="AV30" s="28">
        <f t="shared" si="118"/>
        <v>150</v>
      </c>
      <c r="AW30" s="35">
        <f t="shared" si="119"/>
        <v>0</v>
      </c>
      <c r="AX30" s="35">
        <f t="shared" si="120"/>
        <v>0</v>
      </c>
      <c r="AY30" s="35">
        <f t="shared" si="121"/>
        <v>0</v>
      </c>
      <c r="AZ30" s="35">
        <f t="shared" si="103"/>
        <v>12408.173290942701</v>
      </c>
      <c r="BA30" s="28">
        <f t="shared" ca="1" si="104"/>
        <v>0</v>
      </c>
      <c r="BB30" s="28"/>
      <c r="BC30" s="35">
        <f ca="1">ROUND(SUM(AQ30:BB30),2)</f>
        <v>136716.37</v>
      </c>
      <c r="BD30" s="35">
        <f t="shared" si="122"/>
        <v>136716.3690833117</v>
      </c>
      <c r="BE30" s="36">
        <f t="shared" ca="1" si="106"/>
        <v>1</v>
      </c>
      <c r="BF30" s="35">
        <f>SUMIFS('Fin Forecast'!$N$3:$N$600,'Fin Forecast'!$B$3:$B$600,'Jul17-Jun18 Transport'!$E30,'Fin Forecast'!$C$3:$C$600,'Jul17-Jun18 Transport'!$BF$5)*1000</f>
        <v>0</v>
      </c>
      <c r="BG30" s="35">
        <f>SUMIFS('Fin Forecast'!$N$3:$N$600,'Fin Forecast'!$B$3:$B$600,'Jul17-Jun18 Transport'!$E30,'Fin Forecast'!$C$3:$C$600,'Jul17-Jun18 Transport'!$BG$5)*1000</f>
        <v>0</v>
      </c>
      <c r="BH30" s="35"/>
      <c r="BI30" s="35">
        <f>SUMIFS('Fin Forecast'!$N$3:$N$600,'Fin Forecast'!$B$3:$B$600,'Jul17-Jun18 Transport'!$E30,'Fin Forecast'!$C$3:$C$600,'Jul17-Jun18 Transport'!$BI$5)*1000</f>
        <v>150</v>
      </c>
      <c r="BJ30" s="35">
        <f>SUMIFS('Fin Forecast'!$N$3:$N$600,'Fin Forecast'!$B$3:$B$600,'Jul17-Jun18 Transport'!$E30,'Fin Forecast'!$C$3:$C$600,'Jul17-Jun18 Transport'!$BJ$5)*1000</f>
        <v>2750</v>
      </c>
      <c r="BK30" s="35">
        <f>SUMIFS('Fin Forecast'!$N$3:$N$600,'Fin Forecast'!$B$3:$B$600,'Jul17-Jun18 Transport'!$E30,'Fin Forecast'!$C$3:$C$600,'Jul17-Jun18 Transport'!$BK$5)*1000</f>
        <v>900</v>
      </c>
      <c r="BL30" s="35">
        <f>SUMIFS('Fin Forecast'!$N$3:$N$600,'Fin Forecast'!$B$3:$B$600,'Jul17-Jun18 Transport'!$E30,'Fin Forecast'!$C$3:$C$600,'Jul17-Jun18 Transport'!$BL$5)*1000</f>
        <v>120508.19579236899</v>
      </c>
      <c r="BM30" s="35">
        <f>SUMIFS('Fin Forecast'!$N$3:$N$600,'Fin Forecast'!$B$3:$B$600,'Jul17-Jun18 Transport'!$E30,'Fin Forecast'!$C$3:$C$600,'Jul17-Jun18 Transport'!$BM$5)*1000</f>
        <v>0</v>
      </c>
      <c r="BN30" s="35">
        <f>SUMIFS('Fin Forecast'!$N$3:$N$600,'Fin Forecast'!$B$3:$B$600,'Jul17-Jun18 Transport'!$E30,'Fin Forecast'!$C$3:$C$600,'Jul17-Jun18 Transport'!$BN$5)*1000</f>
        <v>12408.173290942701</v>
      </c>
      <c r="BP30" s="44">
        <f t="shared" ca="1" si="107"/>
        <v>9.1668829554691911E-4</v>
      </c>
      <c r="BR30" s="49">
        <f t="shared" ca="1" si="108"/>
        <v>0</v>
      </c>
      <c r="BS30" s="49">
        <f t="shared" ca="1" si="109"/>
        <v>7.6096475822851062E-6</v>
      </c>
      <c r="BT30" s="49">
        <f t="shared" si="110"/>
        <v>0</v>
      </c>
    </row>
    <row r="31" spans="2:72" ht="15" x14ac:dyDescent="0.25">
      <c r="C31" s="6">
        <f t="shared" si="123"/>
        <v>22</v>
      </c>
      <c r="D31" s="361">
        <f t="shared" si="124"/>
        <v>43009</v>
      </c>
      <c r="E31" s="361" t="s">
        <v>87</v>
      </c>
      <c r="F31" s="6" t="str">
        <f t="shared" si="111"/>
        <v>892</v>
      </c>
      <c r="G31" s="6" t="str">
        <f>VLOOKUP(E31,'Retail Rates'!$B$7:$D$34,3,FALSE)</f>
        <v>AAGS-I-TS-2</v>
      </c>
      <c r="H31" s="25">
        <f>SUMIF('Forcasted Customer Cts'!$D$5:$D$36,'Jul17-Jun18 Transport'!$E31,'Forcasted Customer Cts'!$S$5:$S$36)</f>
        <v>2</v>
      </c>
      <c r="I31" s="25"/>
      <c r="J31" s="25"/>
      <c r="K31" s="25">
        <f>SUMIF('Forecasted Calendar Month Usage'!$D$5:$D$41,'Jul17-Jun18 Transport'!$E31,'Forecasted Calendar Month Usage'!$AA$5:$AA$41)*10</f>
        <v>439368.46015835757</v>
      </c>
      <c r="L31" s="25"/>
      <c r="M31" s="25"/>
      <c r="N31" s="25"/>
      <c r="O31" s="26">
        <f>VLOOKUP($E31,'Retail Rates'!$B$7:$L$34,5,FALSE)</f>
        <v>400</v>
      </c>
      <c r="P31" s="26">
        <f>VLOOKUP($E31,'Retail Rates'!$B$7:$L$34,6,FALSE)</f>
        <v>0</v>
      </c>
      <c r="Q31" s="26">
        <f>VLOOKUP($E31,'Retail Rates'!$B$7:$L$34,9,FALSE)</f>
        <v>550</v>
      </c>
      <c r="R31" s="27">
        <f>VLOOKUP($E31,'Retail Rates'!$B$7:$L$34,7,FALSE)</f>
        <v>7.009E-2</v>
      </c>
      <c r="S31" s="27">
        <f>VLOOKUP($E31,'Retail Rates'!$B$7:$L$34,8,FALSE)</f>
        <v>0</v>
      </c>
      <c r="T31" s="309">
        <v>75</v>
      </c>
      <c r="U31" s="26">
        <f>VLOOKUP($E31,'Retail Rates'!$B$7:$L$34,11,FALSE)</f>
        <v>0</v>
      </c>
      <c r="V31" s="309"/>
      <c r="W31" s="309"/>
      <c r="X31" s="28">
        <f t="shared" ref="X31:X33" si="125">(+H31*O31)+(I31*O31)</f>
        <v>800</v>
      </c>
      <c r="Y31" s="28">
        <f t="shared" si="112"/>
        <v>0</v>
      </c>
      <c r="Z31" s="28">
        <f t="shared" ref="Z31:Z33" si="126">H31*Q31</f>
        <v>1100</v>
      </c>
      <c r="AA31" s="28">
        <f t="shared" si="98"/>
        <v>30795.335372499281</v>
      </c>
      <c r="AB31" s="28">
        <f t="shared" si="113"/>
        <v>0</v>
      </c>
      <c r="AC31" s="28">
        <f t="shared" si="114"/>
        <v>0</v>
      </c>
      <c r="AD31" s="28">
        <f t="shared" ref="AD31:AD33" si="127">H31*V31</f>
        <v>0</v>
      </c>
      <c r="AE31" s="28"/>
      <c r="AF31" s="28">
        <f t="shared" si="99"/>
        <v>0</v>
      </c>
      <c r="AG31" s="28"/>
      <c r="AH31" s="48">
        <f ca="1">SUMIFS(Adjustments!H$5:H$557,Adjustments!$B$5:$B$557,'Jul17-Jun18 Retail'!$D30,Adjustments!$C$5:$C$557,'Jul17-Jun18 Retail'!$E30)</f>
        <v>0</v>
      </c>
      <c r="AI31" s="48">
        <f ca="1">SUMIFS(Adjustments!I$5:I$557,Adjustments!$B$5:$B$557,'Jul17-Jun18 Retail'!$D30,Adjustments!$C$5:$C$557,'Jul17-Jun18 Retail'!$E30)</f>
        <v>0</v>
      </c>
      <c r="AJ31" s="40">
        <f ca="1">SUMIFS(Adjustments!J$5:J$557,Adjustments!$B$5:$B$557,'Jul17-Jun18 Retail'!$D30,Adjustments!$C$5:$C$557,'Jul17-Jun18 Retail'!$E30)</f>
        <v>0</v>
      </c>
      <c r="AK31" s="40">
        <f ca="1">SUMIFS(Adjustments!K$5:K$557,Adjustments!$B$5:$B$557,'Jul17-Jun18 Retail'!$D30,Adjustments!$C$5:$C$557,'Jul17-Jun18 Retail'!$E30)</f>
        <v>0</v>
      </c>
      <c r="AL31" s="40">
        <f ca="1">SUMIFS(Adjustments!L$5:L$557,Adjustments!$B$5:$B$557,'Jul17-Jun18 Retail'!$D30,Adjustments!$C$5:$C$557,'Jul17-Jun18 Retail'!$E30)</f>
        <v>0</v>
      </c>
      <c r="AM31" s="40">
        <f ca="1">SUMIFS(Adjustments!M$5:M$557,Adjustments!$B$5:$B$557,'Jul17-Jun18 Retail'!$D30,Adjustments!$C$5:$C$557,'Jul17-Jun18 Retail'!$E30)</f>
        <v>0</v>
      </c>
      <c r="AN31" s="40">
        <f ca="1">SUMIFS(Adjustments!N$5:N$557,Adjustments!$B$5:$B$557,'Jul17-Jun18 Retail'!$D30,Adjustments!$C$5:$C$557,'Jul17-Jun18 Retail'!$E30)</f>
        <v>0</v>
      </c>
      <c r="AO31" s="40">
        <f ca="1">SUMIFS(Adjustments!O$5:O$557,Adjustments!$B$5:$B$557,'Jul17-Jun18 Retail'!$D30,Adjustments!$C$5:$C$557,'Jul17-Jun18 Retail'!$E30)</f>
        <v>0</v>
      </c>
      <c r="AP31" s="40">
        <f ca="1">SUMIFS(Adjustments!P$5:P$557,Adjustments!$B$5:$B$557,'Jul17-Jun18 Retail'!$D30,Adjustments!$C$5:$C$557,'Jul17-Jun18 Retail'!$E30)</f>
        <v>0</v>
      </c>
      <c r="AQ31" s="28">
        <f t="shared" ca="1" si="100"/>
        <v>800</v>
      </c>
      <c r="AR31" s="28">
        <f t="shared" ca="1" si="116"/>
        <v>0</v>
      </c>
      <c r="AS31" s="28">
        <f t="shared" ca="1" si="101"/>
        <v>30795.335372499281</v>
      </c>
      <c r="AT31" s="28">
        <f t="shared" ca="1" si="102"/>
        <v>0</v>
      </c>
      <c r="AU31" s="28">
        <f t="shared" si="117"/>
        <v>1100</v>
      </c>
      <c r="AV31" s="28">
        <f t="shared" si="118"/>
        <v>0</v>
      </c>
      <c r="AW31" s="35">
        <f t="shared" si="119"/>
        <v>0</v>
      </c>
      <c r="AX31" s="35">
        <f t="shared" si="120"/>
        <v>0</v>
      </c>
      <c r="AY31" s="35">
        <f t="shared" si="121"/>
        <v>0</v>
      </c>
      <c r="AZ31" s="35">
        <f t="shared" si="103"/>
        <v>6864.3256817114707</v>
      </c>
      <c r="BA31" s="28">
        <f t="shared" ca="1" si="104"/>
        <v>0</v>
      </c>
      <c r="BB31" s="28"/>
      <c r="BC31" s="35">
        <f t="shared" ref="BC31:BC33" ca="1" si="128">ROUND(SUM(AQ31:BB31),2)</f>
        <v>39559.660000000003</v>
      </c>
      <c r="BD31" s="35">
        <f t="shared" si="122"/>
        <v>39559.661054210766</v>
      </c>
      <c r="BE31" s="36">
        <f t="shared" ca="1" si="106"/>
        <v>1</v>
      </c>
      <c r="BF31" s="35">
        <f>SUMIFS('Fin Forecast'!$N$3:$N$600,'Fin Forecast'!$B$3:$B$600,'Jul17-Jun18 Transport'!$E31,'Fin Forecast'!$C$3:$C$600,'Jul17-Jun18 Transport'!$BF$5)*1000</f>
        <v>0</v>
      </c>
      <c r="BG31" s="35">
        <f>SUMIFS('Fin Forecast'!$N$3:$N$600,'Fin Forecast'!$B$3:$B$600,'Jul17-Jun18 Transport'!$E31,'Fin Forecast'!$C$3:$C$600,'Jul17-Jun18 Transport'!$BG$5)*1000</f>
        <v>0</v>
      </c>
      <c r="BH31" s="35"/>
      <c r="BI31" s="35">
        <f>SUMIFS('Fin Forecast'!$N$3:$N$600,'Fin Forecast'!$B$3:$B$600,'Jul17-Jun18 Transport'!$E31,'Fin Forecast'!$C$3:$C$600,'Jul17-Jun18 Transport'!$BI$5)*1000</f>
        <v>0</v>
      </c>
      <c r="BJ31" s="35">
        <f>SUMIFS('Fin Forecast'!$N$3:$N$600,'Fin Forecast'!$B$3:$B$600,'Jul17-Jun18 Transport'!$E31,'Fin Forecast'!$C$3:$C$600,'Jul17-Jun18 Transport'!$BJ$5)*1000</f>
        <v>1100</v>
      </c>
      <c r="BK31" s="35">
        <f>SUMIFS('Fin Forecast'!$N$3:$N$600,'Fin Forecast'!$B$3:$B$600,'Jul17-Jun18 Transport'!$E31,'Fin Forecast'!$C$3:$C$600,'Jul17-Jun18 Transport'!$BK$5)*1000</f>
        <v>800</v>
      </c>
      <c r="BL31" s="35">
        <f>SUMIFS('Fin Forecast'!$N$3:$N$600,'Fin Forecast'!$B$3:$B$600,'Jul17-Jun18 Transport'!$E31,'Fin Forecast'!$C$3:$C$600,'Jul17-Jun18 Transport'!$BL$5)*1000</f>
        <v>30795.335372499299</v>
      </c>
      <c r="BM31" s="35">
        <f>SUMIFS('Fin Forecast'!$N$3:$N$600,'Fin Forecast'!$B$3:$B$600,'Jul17-Jun18 Transport'!$E31,'Fin Forecast'!$C$3:$C$600,'Jul17-Jun18 Transport'!$BM$5)*1000</f>
        <v>0</v>
      </c>
      <c r="BN31" s="35">
        <f>SUMIFS('Fin Forecast'!$N$3:$N$600,'Fin Forecast'!$B$3:$B$600,'Jul17-Jun18 Transport'!$E31,'Fin Forecast'!$C$3:$C$600,'Jul17-Jun18 Transport'!$BN$5)*1000</f>
        <v>6864.3256817114707</v>
      </c>
      <c r="BP31" s="44">
        <f t="shared" ca="1" si="107"/>
        <v>-1.0542107629589736E-3</v>
      </c>
      <c r="BR31" s="49">
        <f t="shared" ca="1" si="108"/>
        <v>0</v>
      </c>
      <c r="BS31" s="49">
        <f t="shared" ca="1" si="109"/>
        <v>0</v>
      </c>
      <c r="BT31" s="49">
        <f t="shared" si="110"/>
        <v>0</v>
      </c>
    </row>
    <row r="32" spans="2:72" ht="15" customHeight="1" x14ac:dyDescent="0.25">
      <c r="C32" s="6">
        <f t="shared" si="123"/>
        <v>23</v>
      </c>
      <c r="D32" s="361">
        <f t="shared" si="124"/>
        <v>43009</v>
      </c>
      <c r="E32" s="361" t="s">
        <v>51</v>
      </c>
      <c r="F32" s="6" t="str">
        <f t="shared" si="111"/>
        <v>997</v>
      </c>
      <c r="G32" s="6" t="str">
        <f>VLOOKUP(E32,'Retail Rates'!$B$7:$D$34,3,FALSE)</f>
        <v>SPC-P</v>
      </c>
      <c r="H32" s="25">
        <f>SUMIF('Forcasted Customer Cts'!$D$5:$D$36,'Jul17-Jun18 Transport'!$E32,'Forcasted Customer Cts'!$S$5:$S$36)</f>
        <v>0</v>
      </c>
      <c r="I32" s="25"/>
      <c r="J32" s="25"/>
      <c r="K32" s="25">
        <f>SUMIF('Forecasted Calendar Month Usage'!$D$5:$D$41,'Jul17-Jun18 Transport'!$E32,'Forecasted Calendar Month Usage'!$AA$5:$AA$41)</f>
        <v>0</v>
      </c>
      <c r="L32" s="25"/>
      <c r="M32" s="25"/>
      <c r="N32" s="25"/>
      <c r="O32" s="26">
        <f>VLOOKUP($E32,'Retail Rates'!$B$7:$L$34,5,FALSE)</f>
        <v>800</v>
      </c>
      <c r="P32" s="26">
        <f>VLOOKUP($E32,'Retail Rates'!$B$7:$L$34,6,FALSE)</f>
        <v>0</v>
      </c>
      <c r="Q32" s="26">
        <f>VLOOKUP($E32,'Retail Rates'!$B$7:$L$34,9,FALSE)</f>
        <v>0</v>
      </c>
      <c r="R32" s="27">
        <f>VLOOKUP($E32,'Retail Rates'!$B$7:$L$34,7,FALSE)</f>
        <v>4.9699999999999996E-3</v>
      </c>
      <c r="S32" s="27">
        <f>VLOOKUP($E32,'Retail Rates'!$B$7:$L$34,8,FALSE)</f>
        <v>0</v>
      </c>
      <c r="T32" s="309">
        <v>0</v>
      </c>
      <c r="U32" s="403">
        <f>VLOOKUP($E32,'Retail Rates'!$B$7:$L$34,11,FALSE)</f>
        <v>0.24801000000000001</v>
      </c>
      <c r="V32" s="27"/>
      <c r="W32" s="309"/>
      <c r="X32" s="28">
        <f t="shared" si="125"/>
        <v>0</v>
      </c>
      <c r="Y32" s="28">
        <f t="shared" si="112"/>
        <v>0</v>
      </c>
      <c r="Z32" s="28">
        <f t="shared" si="126"/>
        <v>0</v>
      </c>
      <c r="AA32" s="28">
        <f t="shared" si="98"/>
        <v>0</v>
      </c>
      <c r="AB32" s="28">
        <f t="shared" si="113"/>
        <v>0</v>
      </c>
      <c r="AC32" s="28">
        <f t="shared" si="114"/>
        <v>0</v>
      </c>
      <c r="AD32" s="28">
        <f t="shared" si="127"/>
        <v>0</v>
      </c>
      <c r="AE32" s="28"/>
      <c r="AF32" s="28">
        <f t="shared" si="99"/>
        <v>0</v>
      </c>
      <c r="AG32" s="28"/>
      <c r="AH32" s="48">
        <f ca="1">SUMIFS(Adjustments!H$5:H$557,Adjustments!$B$5:$B$557,'Jul17-Jun18 Retail'!#REF!,Adjustments!$C$5:$C$557,'Jul17-Jun18 Retail'!#REF!)</f>
        <v>0</v>
      </c>
      <c r="AI32" s="48">
        <f ca="1">SUMIFS(Adjustments!I$5:I$557,Adjustments!$B$5:$B$557,'Jul17-Jun18 Retail'!#REF!,Adjustments!$C$5:$C$557,'Jul17-Jun18 Retail'!#REF!)</f>
        <v>0</v>
      </c>
      <c r="AJ32" s="40">
        <f ca="1">SUMIFS(Adjustments!J$5:J$557,Adjustments!$B$5:$B$557,'Jul17-Jun18 Retail'!#REF!,Adjustments!$C$5:$C$557,'Jul17-Jun18 Retail'!#REF!)</f>
        <v>0</v>
      </c>
      <c r="AK32" s="40">
        <f ca="1">SUMIFS(Adjustments!K$5:K$557,Adjustments!$B$5:$B$557,'Jul17-Jun18 Retail'!#REF!,Adjustments!$C$5:$C$557,'Jul17-Jun18 Retail'!#REF!)</f>
        <v>0</v>
      </c>
      <c r="AL32" s="40">
        <f ca="1">SUMIFS(Adjustments!L$5:L$557,Adjustments!$B$5:$B$557,'Jul17-Jun18 Retail'!#REF!,Adjustments!$C$5:$C$557,'Jul17-Jun18 Retail'!#REF!)</f>
        <v>0</v>
      </c>
      <c r="AM32" s="40">
        <f ca="1">SUMIFS(Adjustments!M$5:M$557,Adjustments!$B$5:$B$557,'Jul17-Jun18 Retail'!#REF!,Adjustments!$C$5:$C$557,'Jul17-Jun18 Retail'!#REF!)</f>
        <v>0</v>
      </c>
      <c r="AN32" s="40">
        <f ca="1">SUMIFS(Adjustments!N$5:N$557,Adjustments!$B$5:$B$557,'Jul17-Jun18 Retail'!#REF!,Adjustments!$C$5:$C$557,'Jul17-Jun18 Retail'!#REF!)</f>
        <v>0</v>
      </c>
      <c r="AO32" s="40">
        <f ca="1">SUMIFS(Adjustments!O$5:O$557,Adjustments!$B$5:$B$557,'Jul17-Jun18 Retail'!#REF!,Adjustments!$C$5:$C$557,'Jul17-Jun18 Retail'!#REF!)</f>
        <v>0</v>
      </c>
      <c r="AP32" s="40">
        <f ca="1">SUMIFS(Adjustments!P$5:P$557,Adjustments!$B$5:$B$557,'Jul17-Jun18 Retail'!#REF!,Adjustments!$C$5:$C$557,'Jul17-Jun18 Retail'!#REF!)</f>
        <v>0</v>
      </c>
      <c r="AQ32" s="28">
        <f t="shared" ca="1" si="100"/>
        <v>0</v>
      </c>
      <c r="AR32" s="28">
        <f t="shared" ca="1" si="116"/>
        <v>0</v>
      </c>
      <c r="AS32" s="28">
        <f t="shared" ca="1" si="101"/>
        <v>0</v>
      </c>
      <c r="AT32" s="28">
        <f t="shared" ca="1" si="102"/>
        <v>0</v>
      </c>
      <c r="AU32" s="28">
        <f t="shared" si="117"/>
        <v>0</v>
      </c>
      <c r="AV32" s="28">
        <f t="shared" si="118"/>
        <v>0</v>
      </c>
      <c r="AW32" s="35">
        <f t="shared" si="119"/>
        <v>0</v>
      </c>
      <c r="AX32" s="35">
        <f t="shared" si="120"/>
        <v>0</v>
      </c>
      <c r="AY32" s="35">
        <f t="shared" si="121"/>
        <v>0</v>
      </c>
      <c r="AZ32" s="35">
        <f t="shared" si="103"/>
        <v>0</v>
      </c>
      <c r="BA32" s="28">
        <f t="shared" ca="1" si="104"/>
        <v>0</v>
      </c>
      <c r="BB32" s="28"/>
      <c r="BC32" s="35">
        <f t="shared" ca="1" si="128"/>
        <v>0</v>
      </c>
      <c r="BD32" s="35">
        <f t="shared" si="122"/>
        <v>0</v>
      </c>
      <c r="BE32" s="36">
        <f t="shared" si="106"/>
        <v>0</v>
      </c>
      <c r="BF32" s="35">
        <f>SUMIFS('Fin Forecast'!$N$3:$N$600,'Fin Forecast'!$B$3:$B$600,'Jul17-Jun18 Transport'!$E32,'Fin Forecast'!$C$3:$C$600,'Jul17-Jun18 Transport'!$BF$5)*1000</f>
        <v>0</v>
      </c>
      <c r="BG32" s="35">
        <f>SUMIFS('Fin Forecast'!$N$3:$N$600,'Fin Forecast'!$B$3:$B$600,'Jul17-Jun18 Transport'!$E32,'Fin Forecast'!$C$3:$C$600,'Jul17-Jun18 Transport'!$BG$5)*1000</f>
        <v>0</v>
      </c>
      <c r="BH32" s="35"/>
      <c r="BI32" s="35">
        <f>SUMIFS('Fin Forecast'!$N$3:$N$600,'Fin Forecast'!$B$3:$B$600,'Jul17-Jun18 Transport'!$E32,'Fin Forecast'!$C$3:$C$600,'Jul17-Jun18 Transport'!$BI$5)*1000</f>
        <v>0</v>
      </c>
      <c r="BJ32" s="35">
        <f>SUMIFS('Fin Forecast'!$N$3:$N$600,'Fin Forecast'!$B$3:$B$600,'Jul17-Jun18 Transport'!$E32,'Fin Forecast'!$C$3:$C$600,'Jul17-Jun18 Transport'!$BJ$5)*1000</f>
        <v>0</v>
      </c>
      <c r="BK32" s="35">
        <f>SUMIFS('Fin Forecast'!$N$3:$N$600,'Fin Forecast'!$B$3:$B$600,'Jul17-Jun18 Transport'!$E32,'Fin Forecast'!$C$3:$C$600,'Jul17-Jun18 Transport'!$BK$5)*1000</f>
        <v>0</v>
      </c>
      <c r="BL32" s="35">
        <f>SUMIFS('Fin Forecast'!$N$3:$N$600,'Fin Forecast'!$B$3:$B$600,'Jul17-Jun18 Transport'!$E32,'Fin Forecast'!$C$3:$C$600,'Jul17-Jun18 Transport'!$BL$5)*1000</f>
        <v>0</v>
      </c>
      <c r="BM32" s="35">
        <f>SUMIFS('Fin Forecast'!$N$3:$N$600,'Fin Forecast'!$B$3:$B$600,'Jul17-Jun18 Transport'!$E32,'Fin Forecast'!$C$3:$C$600,'Jul17-Jun18 Transport'!$BM$5)*1000</f>
        <v>0</v>
      </c>
      <c r="BN32" s="35">
        <f>SUMIFS('Fin Forecast'!$N$3:$N$600,'Fin Forecast'!$B$3:$B$600,'Jul17-Jun18 Transport'!$E32,'Fin Forecast'!$C$3:$C$600,'Jul17-Jun18 Transport'!$BN$5)*1000</f>
        <v>0</v>
      </c>
      <c r="BP32" s="44">
        <f t="shared" ca="1" si="107"/>
        <v>0</v>
      </c>
      <c r="BR32" s="49">
        <f t="shared" ca="1" si="108"/>
        <v>0</v>
      </c>
      <c r="BS32" s="49">
        <f t="shared" ca="1" si="109"/>
        <v>0</v>
      </c>
      <c r="BT32" s="49">
        <f t="shared" si="110"/>
        <v>0</v>
      </c>
    </row>
    <row r="33" spans="1:72" ht="15" customHeight="1" x14ac:dyDescent="0.25">
      <c r="C33" s="6">
        <f t="shared" si="123"/>
        <v>24</v>
      </c>
      <c r="D33" s="361">
        <f t="shared" si="124"/>
        <v>43009</v>
      </c>
      <c r="E33" s="361" t="s">
        <v>34</v>
      </c>
      <c r="F33" s="6" t="str">
        <f t="shared" si="111"/>
        <v>996</v>
      </c>
      <c r="G33" s="6" t="s">
        <v>754</v>
      </c>
      <c r="H33" s="25">
        <f>SUMIF('Forcasted Customer Cts'!$D$5:$D$36,'Jul17-Jun18 Transport'!$E33,'Forcasted Customer Cts'!$S$5:$S$36)</f>
        <v>1</v>
      </c>
      <c r="I33" s="25"/>
      <c r="J33" s="25"/>
      <c r="K33" s="25">
        <f>SUMIF('Forecasted Calendar Month Usage'!$D$5:$D$41,'Jul17-Jun18 Transport'!$E33,'Forecasted Calendar Month Usage'!$AA$5:$AA$41)*10</f>
        <v>143438</v>
      </c>
      <c r="L33" s="25"/>
      <c r="M33" s="25"/>
      <c r="N33" s="25">
        <f>16560*10</f>
        <v>165600</v>
      </c>
      <c r="O33" s="26">
        <f>VLOOKUP($E33,'Retail Rates'!$B$7:$L$34,5,FALSE)</f>
        <v>180</v>
      </c>
      <c r="P33" s="26">
        <f>VLOOKUP($E33,'Retail Rates'!$B$7:$L$34,6,FALSE)</f>
        <v>0</v>
      </c>
      <c r="Q33" s="26">
        <f>VLOOKUP($E33,'Retail Rates'!$B$7:$L$34,9,FALSE)</f>
        <v>0</v>
      </c>
      <c r="R33" s="27">
        <f>VLOOKUP($E33,'Retail Rates'!$B$7:$L$34,7,FALSE)</f>
        <v>3.329E-2</v>
      </c>
      <c r="S33" s="27">
        <f>VLOOKUP($E33,'Retail Rates'!$B$7:$L$34,8,FALSE)</f>
        <v>0</v>
      </c>
      <c r="T33" s="309">
        <v>0</v>
      </c>
      <c r="U33" s="403">
        <f>VLOOKUP($E33,'Retail Rates'!$B$7:$L$34,11,FALSE)</f>
        <v>1.12629</v>
      </c>
      <c r="V33" s="27"/>
      <c r="W33" s="309"/>
      <c r="X33" s="28">
        <f t="shared" si="125"/>
        <v>180</v>
      </c>
      <c r="Y33" s="28">
        <f t="shared" si="112"/>
        <v>0</v>
      </c>
      <c r="Z33" s="28">
        <f t="shared" si="126"/>
        <v>0</v>
      </c>
      <c r="AA33" s="28">
        <f t="shared" si="98"/>
        <v>4775.0510199999999</v>
      </c>
      <c r="AB33" s="28">
        <f t="shared" si="113"/>
        <v>0</v>
      </c>
      <c r="AC33" s="28">
        <f t="shared" si="114"/>
        <v>0</v>
      </c>
      <c r="AD33" s="28">
        <f t="shared" si="127"/>
        <v>0</v>
      </c>
      <c r="AE33" s="28"/>
      <c r="AF33" s="28">
        <f>N33*U33</f>
        <v>186513.62400000001</v>
      </c>
      <c r="AG33" s="28"/>
      <c r="AH33" s="48">
        <f ca="1">SUMIFS(Adjustments!H$5:H$557,Adjustments!$B$5:$B$557,'Jul17-Jun18 Retail'!$D31,Adjustments!$C$5:$C$557,'Jul17-Jun18 Retail'!$E31)</f>
        <v>0</v>
      </c>
      <c r="AI33" s="48">
        <f ca="1">SUMIFS(Adjustments!I$5:I$557,Adjustments!$B$5:$B$557,'Jul17-Jun18 Retail'!$D31,Adjustments!$C$5:$C$557,'Jul17-Jun18 Retail'!$E31)</f>
        <v>0</v>
      </c>
      <c r="AJ33" s="40">
        <f ca="1">SUMIFS(Adjustments!J$5:J$557,Adjustments!$B$5:$B$557,'Jul17-Jun18 Retail'!$D31,Adjustments!$C$5:$C$557,'Jul17-Jun18 Retail'!$E31)</f>
        <v>0</v>
      </c>
      <c r="AK33" s="40">
        <f ca="1">SUMIFS(Adjustments!K$5:K$557,Adjustments!$B$5:$B$557,'Jul17-Jun18 Retail'!$D31,Adjustments!$C$5:$C$557,'Jul17-Jun18 Retail'!$E31)</f>
        <v>0</v>
      </c>
      <c r="AL33" s="40">
        <f ca="1">SUMIFS(Adjustments!L$5:L$557,Adjustments!$B$5:$B$557,'Jul17-Jun18 Retail'!$D31,Adjustments!$C$5:$C$557,'Jul17-Jun18 Retail'!$E31)</f>
        <v>0</v>
      </c>
      <c r="AM33" s="40">
        <f ca="1">SUMIFS(Adjustments!M$5:M$557,Adjustments!$B$5:$B$557,'Jul17-Jun18 Retail'!$D31,Adjustments!$C$5:$C$557,'Jul17-Jun18 Retail'!$E31)</f>
        <v>0</v>
      </c>
      <c r="AN33" s="40">
        <f ca="1">SUMIFS(Adjustments!N$5:N$557,Adjustments!$B$5:$B$557,'Jul17-Jun18 Retail'!$D31,Adjustments!$C$5:$C$557,'Jul17-Jun18 Retail'!$E31)</f>
        <v>0</v>
      </c>
      <c r="AO33" s="40">
        <f ca="1">SUMIFS(Adjustments!O$5:O$557,Adjustments!$B$5:$B$557,'Jul17-Jun18 Retail'!$D31,Adjustments!$C$5:$C$557,'Jul17-Jun18 Retail'!$E31)</f>
        <v>0</v>
      </c>
      <c r="AP33" s="40">
        <f ca="1">SUMIFS(Adjustments!P$5:P$557,Adjustments!$B$5:$B$557,'Jul17-Jun18 Retail'!$D31,Adjustments!$C$5:$C$557,'Jul17-Jun18 Retail'!$E31)</f>
        <v>0</v>
      </c>
      <c r="AQ33" s="28">
        <f t="shared" ca="1" si="100"/>
        <v>180</v>
      </c>
      <c r="AR33" s="28">
        <f t="shared" ca="1" si="116"/>
        <v>0</v>
      </c>
      <c r="AS33" s="28">
        <f t="shared" ca="1" si="101"/>
        <v>4775.0510199999999</v>
      </c>
      <c r="AT33" s="28">
        <f t="shared" ca="1" si="102"/>
        <v>0</v>
      </c>
      <c r="AU33" s="28">
        <f t="shared" si="117"/>
        <v>0</v>
      </c>
      <c r="AV33" s="28">
        <f t="shared" si="118"/>
        <v>0</v>
      </c>
      <c r="AW33" s="35">
        <f t="shared" si="119"/>
        <v>38295.030994369401</v>
      </c>
      <c r="AX33" s="35">
        <f t="shared" si="120"/>
        <v>0</v>
      </c>
      <c r="AY33" s="35">
        <f t="shared" si="121"/>
        <v>0</v>
      </c>
      <c r="AZ33" s="35">
        <f t="shared" si="103"/>
        <v>0</v>
      </c>
      <c r="BA33" s="28">
        <f t="shared" ca="1" si="104"/>
        <v>186513.62400000001</v>
      </c>
      <c r="BB33" s="28"/>
      <c r="BC33" s="35">
        <f t="shared" ca="1" si="128"/>
        <v>229763.71</v>
      </c>
      <c r="BD33" s="35">
        <f t="shared" si="122"/>
        <v>229763.70601436938</v>
      </c>
      <c r="BE33" s="36">
        <f t="shared" ca="1" si="106"/>
        <v>1</v>
      </c>
      <c r="BF33" s="35">
        <f>SUMIFS('Fin Forecast'!$N$3:$N$600,'Fin Forecast'!$B$3:$B$600,'Jul17-Jun18 Transport'!$E33,'Fin Forecast'!$C$3:$C$600,'Jul17-Jun18 Transport'!$BF$5)*1000</f>
        <v>0</v>
      </c>
      <c r="BG33" s="35">
        <f>SUMIFS('Fin Forecast'!$N$3:$N$600,'Fin Forecast'!$B$3:$B$600,'Jul17-Jun18 Transport'!$E33,'Fin Forecast'!$C$3:$C$600,'Jul17-Jun18 Transport'!$BG$5)*1000</f>
        <v>38295.030994369401</v>
      </c>
      <c r="BH33" s="35"/>
      <c r="BI33" s="35">
        <f>SUMIFS('Fin Forecast'!$N$3:$N$600,'Fin Forecast'!$B$3:$B$600,'Jul17-Jun18 Transport'!$E33,'Fin Forecast'!$C$3:$C$600,'Jul17-Jun18 Transport'!$BI$5)*1000</f>
        <v>0</v>
      </c>
      <c r="BJ33" s="35">
        <f>SUMIFS('Fin Forecast'!$N$3:$N$600,'Fin Forecast'!$B$3:$B$600,'Jul17-Jun18 Transport'!$E33,'Fin Forecast'!$C$3:$C$600,'Jul17-Jun18 Transport'!$BJ$5)*1000</f>
        <v>0</v>
      </c>
      <c r="BK33" s="35">
        <f>SUMIFS('Fin Forecast'!$N$3:$N$600,'Fin Forecast'!$B$3:$B$600,'Jul17-Jun18 Transport'!$E33,'Fin Forecast'!$C$3:$C$600,'Jul17-Jun18 Transport'!$BK$5)*1000</f>
        <v>180</v>
      </c>
      <c r="BL33" s="35">
        <f>SUMIFS('Fin Forecast'!$N$3:$N$600,'Fin Forecast'!$B$3:$B$600,'Jul17-Jun18 Transport'!$E33,'Fin Forecast'!$C$3:$C$600,'Jul17-Jun18 Transport'!$BL$5)*1000</f>
        <v>4775.0510199999899</v>
      </c>
      <c r="BM33" s="35">
        <f>SUMIFS('Fin Forecast'!$N$3:$N$600,'Fin Forecast'!$B$3:$B$600,'Jul17-Jun18 Transport'!$E33,'Fin Forecast'!$C$3:$C$600,'Jul17-Jun18 Transport'!$BM$5)*1000</f>
        <v>186513.62399999998</v>
      </c>
      <c r="BN33" s="35">
        <f>SUMIFS('Fin Forecast'!$N$3:$N$600,'Fin Forecast'!$B$3:$B$600,'Jul17-Jun18 Transport'!$E33,'Fin Forecast'!$C$3:$C$600,'Jul17-Jun18 Transport'!$BN$5)*1000</f>
        <v>0</v>
      </c>
      <c r="BP33" s="44">
        <f t="shared" ca="1" si="107"/>
        <v>3.9856306102592498E-3</v>
      </c>
      <c r="BR33" s="49">
        <f t="shared" ca="1" si="108"/>
        <v>0</v>
      </c>
      <c r="BS33" s="49">
        <f t="shared" ca="1" si="109"/>
        <v>1.0004441719502211E-11</v>
      </c>
      <c r="BT33" s="49">
        <f t="shared" si="110"/>
        <v>0</v>
      </c>
    </row>
    <row r="34" spans="1:72" s="323" customFormat="1" ht="15" customHeight="1" x14ac:dyDescent="0.25">
      <c r="C34" s="324"/>
      <c r="D34" s="362"/>
      <c r="E34" s="362"/>
      <c r="F34" s="324"/>
      <c r="G34" s="324"/>
      <c r="H34" s="325"/>
      <c r="I34" s="325"/>
      <c r="J34" s="325"/>
      <c r="K34" s="325"/>
      <c r="L34" s="325"/>
      <c r="M34" s="325"/>
      <c r="N34" s="325"/>
      <c r="O34" s="326"/>
      <c r="P34" s="326"/>
      <c r="Q34" s="327"/>
      <c r="R34" s="327"/>
      <c r="S34" s="327"/>
      <c r="T34" s="326"/>
      <c r="U34" s="327"/>
      <c r="V34" s="326"/>
      <c r="W34" s="328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30"/>
      <c r="AI34" s="330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  <c r="AX34" s="329"/>
      <c r="AY34" s="329"/>
      <c r="AZ34" s="329"/>
      <c r="BA34" s="329"/>
      <c r="BB34" s="329"/>
      <c r="BC34" s="329"/>
      <c r="BD34" s="329"/>
      <c r="BE34" s="331"/>
      <c r="BF34" s="329"/>
      <c r="BG34" s="329"/>
      <c r="BH34" s="329"/>
      <c r="BI34" s="329"/>
      <c r="BJ34" s="329"/>
      <c r="BK34" s="329"/>
      <c r="BL34" s="329"/>
      <c r="BM34" s="329"/>
      <c r="BN34" s="329"/>
      <c r="BP34" s="329"/>
      <c r="BR34" s="329"/>
      <c r="BS34" s="329"/>
      <c r="BT34" s="329"/>
    </row>
    <row r="35" spans="1:72" ht="15" customHeight="1" x14ac:dyDescent="0.25">
      <c r="C35" s="6">
        <f>C33+1</f>
        <v>25</v>
      </c>
      <c r="D35" s="361">
        <f>EDATE(D28,1)</f>
        <v>43040</v>
      </c>
      <c r="E35" s="361" t="s">
        <v>41</v>
      </c>
      <c r="F35" s="6" t="str">
        <f>MID(E35,6,3)</f>
        <v>895</v>
      </c>
      <c r="G35" s="6" t="str">
        <f>VLOOKUP(E35,'Retail Rates'!$B$7:$D$34,3,FALSE)</f>
        <v>FT-C</v>
      </c>
      <c r="H35" s="25">
        <f>SUMIF('Forcasted Customer Cts'!$D$5:$D$36,'Jul17-Jun18 Transport'!$E35,'Forcasted Customer Cts'!$T$5:$T$36)</f>
        <v>73</v>
      </c>
      <c r="I35" s="25"/>
      <c r="J35" s="25"/>
      <c r="K35" s="25">
        <f>SUMIF('Forecasted Calendar Month Usage'!$D$5:$D$41,'Jul17-Jun18 Transport'!$E35,'Forecasted Calendar Month Usage'!$AB$5:$AB$41)*10</f>
        <v>14067282.446911134</v>
      </c>
      <c r="L35" s="25"/>
      <c r="M35" s="25">
        <v>69</v>
      </c>
      <c r="N35" s="25"/>
      <c r="O35" s="26">
        <f>VLOOKUP($E35,'Retail Rates'!$B$7:$L$34,5,FALSE)</f>
        <v>0</v>
      </c>
      <c r="P35" s="26">
        <f>VLOOKUP($E35,'Retail Rates'!$B$7:$L$34,6,FALSE)</f>
        <v>0</v>
      </c>
      <c r="Q35" s="26">
        <f>VLOOKUP($E35,'Retail Rates'!$B$7:$L$34,9,FALSE)</f>
        <v>550</v>
      </c>
      <c r="R35" s="27">
        <f>VLOOKUP($E35,'Retail Rates'!$B$7:$L$34,7,FALSE)</f>
        <v>4.3020000000000003E-2</v>
      </c>
      <c r="S35" s="27">
        <f>VLOOKUP($E35,'Retail Rates'!$B$7:$L$34,8,FALSE)</f>
        <v>0</v>
      </c>
      <c r="T35" s="309">
        <v>75</v>
      </c>
      <c r="U35" s="26">
        <f>VLOOKUP($E35,'Retail Rates'!$B$7:$L$34,11,FALSE)</f>
        <v>0</v>
      </c>
      <c r="V35" s="27"/>
      <c r="W35" s="309"/>
      <c r="X35" s="28">
        <f t="shared" ref="X35:X36" si="129">(+H35*O35)+(I35*O35)</f>
        <v>0</v>
      </c>
      <c r="Y35" s="28">
        <f>J35*P35</f>
        <v>0</v>
      </c>
      <c r="Z35" s="28">
        <f>H35*Q35</f>
        <v>40150</v>
      </c>
      <c r="AA35" s="28">
        <f t="shared" ref="AA35:AA40" si="130">+K35*R35</f>
        <v>605174.49086611706</v>
      </c>
      <c r="AB35" s="28">
        <f>+L35*S35</f>
        <v>0</v>
      </c>
      <c r="AC35" s="28">
        <f>M35*T35</f>
        <v>5175</v>
      </c>
      <c r="AD35" s="28">
        <f>H35*V35</f>
        <v>0</v>
      </c>
      <c r="AE35" s="28"/>
      <c r="AF35" s="28">
        <f t="shared" ref="AF35:AF39" si="131">N35*U35</f>
        <v>0</v>
      </c>
      <c r="AG35" s="28"/>
      <c r="AH35" s="48">
        <f ca="1">SUMIFS(Adjustments!H$5:H$557,Adjustments!$B$5:$B$557,'Jul17-Jun18 Retail'!$D35,Adjustments!$C$5:$C$557,'Jul17-Jun18 Retail'!$E35)</f>
        <v>0</v>
      </c>
      <c r="AI35" s="48">
        <f ca="1">SUMIFS(Adjustments!I$5:I$557,Adjustments!$B$5:$B$557,'Jul17-Jun18 Retail'!$D35,Adjustments!$C$5:$C$557,'Jul17-Jun18 Retail'!$E35)</f>
        <v>0</v>
      </c>
      <c r="AJ35" s="40">
        <f ca="1">SUMIFS(Adjustments!J$5:J$557,Adjustments!$B$5:$B$557,'Jul17-Jun18 Retail'!$D35,Adjustments!$C$5:$C$557,'Jul17-Jun18 Retail'!$E35)</f>
        <v>0</v>
      </c>
      <c r="AK35" s="40">
        <f ca="1">SUMIFS(Adjustments!K$5:K$557,Adjustments!$B$5:$B$557,'Jul17-Jun18 Retail'!$D35,Adjustments!$C$5:$C$557,'Jul17-Jun18 Retail'!$E35)</f>
        <v>0</v>
      </c>
      <c r="AL35" s="40">
        <f ca="1">SUMIFS(Adjustments!L$5:L$557,Adjustments!$B$5:$B$557,'Jul17-Jun18 Retail'!$D35,Adjustments!$C$5:$C$557,'Jul17-Jun18 Retail'!$E35)</f>
        <v>0</v>
      </c>
      <c r="AM35" s="40">
        <f ca="1">SUMIFS(Adjustments!M$5:M$557,Adjustments!$B$5:$B$557,'Jul17-Jun18 Retail'!$D35,Adjustments!$C$5:$C$557,'Jul17-Jun18 Retail'!$E35)</f>
        <v>0</v>
      </c>
      <c r="AN35" s="40">
        <f ca="1">SUMIFS(Adjustments!N$5:N$557,Adjustments!$B$5:$B$557,'Jul17-Jun18 Retail'!$D35,Adjustments!$C$5:$C$557,'Jul17-Jun18 Retail'!$E35)</f>
        <v>0</v>
      </c>
      <c r="AO35" s="40">
        <f ca="1">SUMIFS(Adjustments!O$5:O$557,Adjustments!$B$5:$B$557,'Jul17-Jun18 Retail'!$D35,Adjustments!$C$5:$C$557,'Jul17-Jun18 Retail'!$E35)</f>
        <v>0</v>
      </c>
      <c r="AP35" s="40">
        <f ca="1">SUMIFS(Adjustments!P$5:P$557,Adjustments!$B$5:$B$557,'Jul17-Jun18 Retail'!$D35,Adjustments!$C$5:$C$557,'Jul17-Jun18 Retail'!$E35)</f>
        <v>0</v>
      </c>
      <c r="AQ35" s="28">
        <f t="shared" ref="AQ35:AQ40" ca="1" si="132">+X35+AJ35+(AH35*O35)</f>
        <v>0</v>
      </c>
      <c r="AR35" s="28">
        <f ca="1">+Y35+AK35</f>
        <v>0</v>
      </c>
      <c r="AS35" s="28">
        <f t="shared" ref="AS35:AS40" ca="1" si="133">+AA35+AL35</f>
        <v>605174.49086611706</v>
      </c>
      <c r="AT35" s="28">
        <f t="shared" ref="AT35:AT40" ca="1" si="134">+AB35+AM35</f>
        <v>0</v>
      </c>
      <c r="AU35" s="28">
        <f>Z35</f>
        <v>40150</v>
      </c>
      <c r="AV35" s="28">
        <f>AC35</f>
        <v>5175</v>
      </c>
      <c r="AW35" s="35">
        <f>BG35</f>
        <v>0</v>
      </c>
      <c r="AX35" s="35">
        <f>BF35</f>
        <v>158712.68366394585</v>
      </c>
      <c r="AY35" s="35">
        <f>BH35</f>
        <v>0</v>
      </c>
      <c r="AZ35" s="35">
        <f t="shared" ref="AZ35:AZ40" si="135">BN35</f>
        <v>0</v>
      </c>
      <c r="BA35" s="28">
        <f t="shared" ref="BA35:BA40" ca="1" si="136">+AF35+AP35</f>
        <v>0</v>
      </c>
      <c r="BB35" s="28"/>
      <c r="BC35" s="35">
        <f t="shared" ref="BC35:BC36" ca="1" si="137">ROUND(SUM(AQ35:BB35),2)</f>
        <v>809212.17</v>
      </c>
      <c r="BD35" s="35">
        <f>SUM(BF35:BN35)</f>
        <v>809212.17443192785</v>
      </c>
      <c r="BE35" s="36">
        <f t="shared" ref="BE35:BE40" ca="1" si="138">IF(BD35=0,0,ROUND(BD35/BC35,6))</f>
        <v>1</v>
      </c>
      <c r="BF35" s="35">
        <f>SUMIFS('Fin Forecast'!$O$3:$O$600,'Fin Forecast'!$B$3:$B$600,'Jul17-Jun18 Transport'!$E35,'Fin Forecast'!$C$3:$C$600,'Jul17-Jun18 Transport'!$BF$5)*1000</f>
        <v>158712.68366394585</v>
      </c>
      <c r="BG35" s="35">
        <f>SUMIFS('Fin Forecast'!$O$3:$O$600,'Fin Forecast'!$B$3:$B$600,'Jul17-Jun18 Transport'!$E35,'Fin Forecast'!$C$3:$C$600,'Jul17-Jun18 Transport'!$BG$5)*1000</f>
        <v>0</v>
      </c>
      <c r="BH35" s="35"/>
      <c r="BI35" s="35">
        <f>SUMIFS('Fin Forecast'!$O$3:$O$600,'Fin Forecast'!$B$3:$B$600,'Jul17-Jun18 Transport'!$E35,'Fin Forecast'!$C$3:$C$600,'Jul17-Jun18 Transport'!$BI$5)*1000</f>
        <v>5175</v>
      </c>
      <c r="BJ35" s="35">
        <f>SUMIFS('Fin Forecast'!$O$3:$O$600,'Fin Forecast'!$B$3:$B$600,'Jul17-Jun18 Transport'!$E35,'Fin Forecast'!$C$3:$C$600,'Jul17-Jun18 Transport'!$BJ$5)*1000</f>
        <v>40150</v>
      </c>
      <c r="BK35" s="35">
        <f>SUMIFS('Fin Forecast'!$O$3:$O$600,'Fin Forecast'!$B$3:$B$600,'Jul17-Jun18 Transport'!$E35,'Fin Forecast'!$C$3:$C$600,'Jul17-Jun18 Transport'!$BK$5)*1000</f>
        <v>0</v>
      </c>
      <c r="BL35" s="35">
        <f>SUMIFS('Fin Forecast'!$O$3:$O$600,'Fin Forecast'!$B$3:$B$600,'Jul17-Jun18 Transport'!$E35,'Fin Forecast'!$C$3:$C$600,'Jul17-Jun18 Transport'!$BL$5)*1000</f>
        <v>605174.49076798197</v>
      </c>
      <c r="BM35" s="35">
        <f>SUMIFS('Fin Forecast'!$O$3:$O$600,'Fin Forecast'!$B$3:$B$600,'Jul17-Jun18 Transport'!$E35,'Fin Forecast'!$C$3:$C$600,'Jul17-Jun18 Transport'!$BM$5)*1000</f>
        <v>0</v>
      </c>
      <c r="BN35" s="35">
        <f>SUMIFS('Fin Forecast'!$O$3:$O$600,'Fin Forecast'!$B$3:$B$600,'Jul17-Jun18 Transport'!$E35,'Fin Forecast'!$C$3:$C$600,'Jul17-Jun18 Transport'!$BN$5)*1000</f>
        <v>0</v>
      </c>
      <c r="BP35" s="44">
        <f t="shared" ref="BP35:BP40" ca="1" si="139">+BC35-BD35</f>
        <v>-4.4319278094917536E-3</v>
      </c>
      <c r="BR35" s="49">
        <f t="shared" ref="BR35:BR40" ca="1" si="140">+AQ35+AR35-BK35</f>
        <v>0</v>
      </c>
      <c r="BS35" s="49">
        <f t="shared" ref="BS35:BS40" ca="1" si="141">+AS35+AT35-BL35</f>
        <v>9.8135089501738548E-5</v>
      </c>
      <c r="BT35" s="49">
        <f t="shared" ref="BT35:BT40" si="142">+AW35-BG35</f>
        <v>0</v>
      </c>
    </row>
    <row r="36" spans="1:72" ht="15" customHeight="1" x14ac:dyDescent="0.25">
      <c r="C36" s="6">
        <f t="shared" si="123"/>
        <v>26</v>
      </c>
      <c r="D36" s="361">
        <f>$D$35</f>
        <v>43040</v>
      </c>
      <c r="E36" s="361" t="s">
        <v>43</v>
      </c>
      <c r="F36" s="6" t="str">
        <f t="shared" ref="F36:F40" si="143">MID(E36,6,3)</f>
        <v>896</v>
      </c>
      <c r="G36" s="6" t="str">
        <f>VLOOKUP(E36,'Retail Rates'!$B$7:$D$34,3,FALSE)</f>
        <v>FT-I</v>
      </c>
      <c r="H36" s="25">
        <f>SUMIF('Forcasted Customer Cts'!$D$5:$D$36,'Jul17-Jun18 Transport'!$E36,'Forcasted Customer Cts'!$T$5:$T$36)</f>
        <v>0</v>
      </c>
      <c r="I36" s="25"/>
      <c r="J36" s="25"/>
      <c r="K36" s="25">
        <f>SUMIF('Forecasted Calendar Month Usage'!$D$5:$D$41,'Jul17-Jun18 Transport'!$E36,'Forecasted Calendar Month Usage'!$AB$5:$AB$41)*10</f>
        <v>0</v>
      </c>
      <c r="L36" s="25"/>
      <c r="M36" s="25"/>
      <c r="N36" s="25"/>
      <c r="O36" s="26">
        <f>VLOOKUP($E36,'Retail Rates'!$B$7:$L$34,5,FALSE)</f>
        <v>0</v>
      </c>
      <c r="P36" s="26">
        <f>VLOOKUP($E36,'Retail Rates'!$B$7:$L$34,6,FALSE)</f>
        <v>0</v>
      </c>
      <c r="Q36" s="26">
        <f>VLOOKUP($E36,'Retail Rates'!$B$7:$L$34,9,FALSE)</f>
        <v>550</v>
      </c>
      <c r="R36" s="27">
        <f>VLOOKUP($E36,'Retail Rates'!$B$7:$L$34,7,FALSE)</f>
        <v>4.3020000000000003E-2</v>
      </c>
      <c r="S36" s="27">
        <f>VLOOKUP($E36,'Retail Rates'!$B$7:$L$34,8,FALSE)</f>
        <v>0</v>
      </c>
      <c r="T36" s="309">
        <v>75</v>
      </c>
      <c r="U36" s="26">
        <f>VLOOKUP($E36,'Retail Rates'!$B$7:$L$34,11,FALSE)</f>
        <v>0</v>
      </c>
      <c r="V36" s="27"/>
      <c r="W36" s="309"/>
      <c r="X36" s="28">
        <f t="shared" si="129"/>
        <v>0</v>
      </c>
      <c r="Y36" s="28">
        <f t="shared" ref="Y36:Y40" si="144">J36*P36</f>
        <v>0</v>
      </c>
      <c r="Z36" s="28">
        <f>H36*Q36</f>
        <v>0</v>
      </c>
      <c r="AA36" s="28">
        <f t="shared" si="130"/>
        <v>0</v>
      </c>
      <c r="AB36" s="28">
        <f t="shared" ref="AB36:AB40" si="145">+L36*S36</f>
        <v>0</v>
      </c>
      <c r="AC36" s="28">
        <f t="shared" ref="AC36:AC40" si="146">M36*T36</f>
        <v>0</v>
      </c>
      <c r="AD36" s="28">
        <f t="shared" ref="AD36" si="147">H36*V36</f>
        <v>0</v>
      </c>
      <c r="AE36" s="28"/>
      <c r="AF36" s="28">
        <f t="shared" si="131"/>
        <v>0</v>
      </c>
      <c r="AG36" s="28"/>
      <c r="AH36" s="48">
        <f ca="1">SUMIFS(Adjustments!H$5:H$557,Adjustments!$B$5:$B$557,'Jul17-Jun18 Retail'!$D36,Adjustments!$C$5:$C$557,'Jul17-Jun18 Retail'!$E36)</f>
        <v>0</v>
      </c>
      <c r="AI36" s="48">
        <f ca="1">SUMIFS(Adjustments!I$5:I$557,Adjustments!$B$5:$B$557,'Jul17-Jun18 Retail'!$D36,Adjustments!$C$5:$C$557,'Jul17-Jun18 Retail'!$E36)</f>
        <v>0</v>
      </c>
      <c r="AJ36" s="40">
        <f ca="1">SUMIFS(Adjustments!J$5:J$557,Adjustments!$B$5:$B$557,'Jul17-Jun18 Retail'!$D36,Adjustments!$C$5:$C$557,'Jul17-Jun18 Retail'!$E36)</f>
        <v>0</v>
      </c>
      <c r="AK36" s="40">
        <f ca="1">SUMIFS(Adjustments!K$5:K$557,Adjustments!$B$5:$B$557,'Jul17-Jun18 Retail'!$D36,Adjustments!$C$5:$C$557,'Jul17-Jun18 Retail'!$E36)</f>
        <v>0</v>
      </c>
      <c r="AL36" s="40">
        <f ca="1">SUMIFS(Adjustments!L$5:L$557,Adjustments!$B$5:$B$557,'Jul17-Jun18 Retail'!$D36,Adjustments!$C$5:$C$557,'Jul17-Jun18 Retail'!$E36)</f>
        <v>0</v>
      </c>
      <c r="AM36" s="40">
        <f ca="1">SUMIFS(Adjustments!M$5:M$557,Adjustments!$B$5:$B$557,'Jul17-Jun18 Retail'!$D36,Adjustments!$C$5:$C$557,'Jul17-Jun18 Retail'!$E36)</f>
        <v>0</v>
      </c>
      <c r="AN36" s="40">
        <f ca="1">SUMIFS(Adjustments!N$5:N$557,Adjustments!$B$5:$B$557,'Jul17-Jun18 Retail'!$D36,Adjustments!$C$5:$C$557,'Jul17-Jun18 Retail'!$E36)</f>
        <v>0</v>
      </c>
      <c r="AO36" s="40">
        <f ca="1">SUMIFS(Adjustments!O$5:O$557,Adjustments!$B$5:$B$557,'Jul17-Jun18 Retail'!$D36,Adjustments!$C$5:$C$557,'Jul17-Jun18 Retail'!$E36)</f>
        <v>0</v>
      </c>
      <c r="AP36" s="40">
        <f ca="1">SUMIFS(Adjustments!P$5:P$557,Adjustments!$B$5:$B$557,'Jul17-Jun18 Retail'!$D36,Adjustments!$C$5:$C$557,'Jul17-Jun18 Retail'!$E36)</f>
        <v>0</v>
      </c>
      <c r="AQ36" s="28">
        <f t="shared" ca="1" si="132"/>
        <v>0</v>
      </c>
      <c r="AR36" s="28">
        <f t="shared" ref="AR36:AR40" ca="1" si="148">+Y36+AK36</f>
        <v>0</v>
      </c>
      <c r="AS36" s="28">
        <f t="shared" ca="1" si="133"/>
        <v>0</v>
      </c>
      <c r="AT36" s="28">
        <f t="shared" ca="1" si="134"/>
        <v>0</v>
      </c>
      <c r="AU36" s="28">
        <f t="shared" ref="AU36:AU40" si="149">Z36</f>
        <v>0</v>
      </c>
      <c r="AV36" s="28">
        <f t="shared" ref="AV36:AV40" si="150">AC36</f>
        <v>0</v>
      </c>
      <c r="AW36" s="35">
        <f t="shared" ref="AW36:AW40" si="151">BG36</f>
        <v>0</v>
      </c>
      <c r="AX36" s="35">
        <f t="shared" ref="AX36:AX40" si="152">BF36</f>
        <v>0</v>
      </c>
      <c r="AY36" s="35">
        <f t="shared" ref="AY36:AY40" si="153">BH36</f>
        <v>0</v>
      </c>
      <c r="AZ36" s="35">
        <f t="shared" si="135"/>
        <v>0</v>
      </c>
      <c r="BA36" s="28">
        <f t="shared" ca="1" si="136"/>
        <v>0</v>
      </c>
      <c r="BB36" s="28"/>
      <c r="BC36" s="35">
        <f t="shared" ca="1" si="137"/>
        <v>0</v>
      </c>
      <c r="BD36" s="35">
        <f t="shared" ref="BD36:BD40" si="154">SUM(BF36:BN36)</f>
        <v>0</v>
      </c>
      <c r="BE36" s="36">
        <f t="shared" si="138"/>
        <v>0</v>
      </c>
      <c r="BF36" s="35">
        <f>SUMIFS('Fin Forecast'!$O$3:$O$600,'Fin Forecast'!$B$3:$B$600,'Jul17-Jun18 Transport'!$E36,'Fin Forecast'!$C$3:$C$600,'Jul17-Jun18 Transport'!$BF$5)*1000</f>
        <v>0</v>
      </c>
      <c r="BG36" s="35">
        <f>SUMIFS('Fin Forecast'!$O$3:$O$600,'Fin Forecast'!$B$3:$B$600,'Jul17-Jun18 Transport'!$E36,'Fin Forecast'!$C$3:$C$600,'Jul17-Jun18 Transport'!$BG$5)*1000</f>
        <v>0</v>
      </c>
      <c r="BH36" s="35"/>
      <c r="BI36" s="35">
        <f>SUMIFS('Fin Forecast'!$O$3:$O$600,'Fin Forecast'!$B$3:$B$600,'Jul17-Jun18 Transport'!$E36,'Fin Forecast'!$C$3:$C$600,'Jul17-Jun18 Transport'!$BI$5)*1000</f>
        <v>0</v>
      </c>
      <c r="BJ36" s="35">
        <f>SUMIFS('Fin Forecast'!$O$3:$O$600,'Fin Forecast'!$B$3:$B$600,'Jul17-Jun18 Transport'!$E36,'Fin Forecast'!$C$3:$C$600,'Jul17-Jun18 Transport'!$BJ$5)*1000</f>
        <v>0</v>
      </c>
      <c r="BK36" s="35">
        <f>SUMIFS('Fin Forecast'!$O$3:$O$600,'Fin Forecast'!$B$3:$B$600,'Jul17-Jun18 Transport'!$E36,'Fin Forecast'!$C$3:$C$600,'Jul17-Jun18 Transport'!$BK$5)*1000</f>
        <v>0</v>
      </c>
      <c r="BL36" s="35">
        <f>SUMIFS('Fin Forecast'!$O$3:$O$600,'Fin Forecast'!$B$3:$B$600,'Jul17-Jun18 Transport'!$E36,'Fin Forecast'!$C$3:$C$600,'Jul17-Jun18 Transport'!$BL$5)*1000</f>
        <v>0</v>
      </c>
      <c r="BM36" s="35">
        <f>SUMIFS('Fin Forecast'!$O$3:$O$600,'Fin Forecast'!$B$3:$B$600,'Jul17-Jun18 Transport'!$E36,'Fin Forecast'!$C$3:$C$600,'Jul17-Jun18 Transport'!$BM$5)*1000</f>
        <v>0</v>
      </c>
      <c r="BN36" s="35">
        <f>SUMIFS('Fin Forecast'!$O$3:$O$600,'Fin Forecast'!$B$3:$B$600,'Jul17-Jun18 Transport'!$E36,'Fin Forecast'!$C$3:$C$600,'Jul17-Jun18 Transport'!$BN$5)*1000</f>
        <v>0</v>
      </c>
      <c r="BP36" s="44">
        <f t="shared" ca="1" si="139"/>
        <v>0</v>
      </c>
      <c r="BR36" s="49">
        <f t="shared" ca="1" si="140"/>
        <v>0</v>
      </c>
      <c r="BS36" s="49">
        <f t="shared" ca="1" si="141"/>
        <v>0</v>
      </c>
      <c r="BT36" s="49">
        <f t="shared" si="142"/>
        <v>0</v>
      </c>
    </row>
    <row r="37" spans="1:72" ht="15" x14ac:dyDescent="0.25">
      <c r="B37" s="13" t="s">
        <v>444</v>
      </c>
      <c r="C37" s="6">
        <f t="shared" si="123"/>
        <v>27</v>
      </c>
      <c r="D37" s="361">
        <f t="shared" ref="D37:D40" si="155">$D$35</f>
        <v>43040</v>
      </c>
      <c r="E37" s="361" t="s">
        <v>31</v>
      </c>
      <c r="F37" s="6" t="str">
        <f t="shared" si="143"/>
        <v>882</v>
      </c>
      <c r="G37" s="6" t="str">
        <f>VLOOKUP(E37,'Retail Rates'!$B$7:$D$34,3,FALSE)</f>
        <v>IGS-TS-2</v>
      </c>
      <c r="H37" s="25"/>
      <c r="I37" s="25"/>
      <c r="J37" s="25">
        <f>SUMIFS('Forcasted Customer Cts'!$T$5:$T$36,'Forcasted Customer Cts'!$D$5:$D$36,$E37,'Forcasted Customer Cts'!$C$5:$C$36,$B37)</f>
        <v>5</v>
      </c>
      <c r="K37" s="25">
        <f>SUMIF('Forecasted Calendar Month Usage'!$D$5:$D$41,'Jul17-Jun18 Transport'!$E37,'Forecasted Calendar Month Usage'!$AB$5:$AB$41)*10</f>
        <v>725832.3021834715</v>
      </c>
      <c r="L37" s="25"/>
      <c r="M37" s="25">
        <v>2</v>
      </c>
      <c r="N37" s="25"/>
      <c r="O37" s="26">
        <f>VLOOKUP($E37,'Retail Rates'!$B$7:$L$34,5,FALSE)</f>
        <v>40</v>
      </c>
      <c r="P37" s="26">
        <f>VLOOKUP($E37,'Retail Rates'!$B$7:$L$34,6,FALSE)</f>
        <v>180</v>
      </c>
      <c r="Q37" s="26">
        <f>VLOOKUP($E37,'Retail Rates'!$B$7:$L$34,9,FALSE)</f>
        <v>550</v>
      </c>
      <c r="R37" s="27">
        <f>VLOOKUP($E37,'Retail Rates'!$B$7:$L$34,7,FALSE)</f>
        <v>0.22778999999999999</v>
      </c>
      <c r="S37" s="27">
        <f>VLOOKUP($E37,'Retail Rates'!$B$7:$L$34,8,FALSE)</f>
        <v>0.17779</v>
      </c>
      <c r="T37" s="309">
        <v>75</v>
      </c>
      <c r="U37" s="26">
        <f>VLOOKUP($E37,'Retail Rates'!$B$7:$L$34,11,FALSE)</f>
        <v>0</v>
      </c>
      <c r="V37" s="309"/>
      <c r="W37" s="309"/>
      <c r="X37" s="28">
        <f>(+H37*O37)+(I37*O37)</f>
        <v>0</v>
      </c>
      <c r="Y37" s="28">
        <f t="shared" si="144"/>
        <v>900</v>
      </c>
      <c r="Z37" s="28">
        <f>(I37+J37)*Q37</f>
        <v>2750</v>
      </c>
      <c r="AA37" s="28">
        <f>+K37*R37</f>
        <v>165337.34011437296</v>
      </c>
      <c r="AB37" s="28">
        <f>+L37*S37</f>
        <v>0</v>
      </c>
      <c r="AC37" s="28">
        <f t="shared" si="146"/>
        <v>150</v>
      </c>
      <c r="AD37" s="28">
        <f>(I37+J37)*V37</f>
        <v>0</v>
      </c>
      <c r="AE37" s="28"/>
      <c r="AF37" s="28">
        <f t="shared" si="131"/>
        <v>0</v>
      </c>
      <c r="AG37" s="28"/>
      <c r="AH37" s="48">
        <f ca="1">SUMIFS(Adjustments!H$5:H$557,Adjustments!$B$5:$B$557,'Jul17-Jun18 Retail'!#REF!,Adjustments!$C$5:$C$557,'Jul17-Jun18 Retail'!#REF!)</f>
        <v>0</v>
      </c>
      <c r="AI37" s="48">
        <f ca="1">SUMIFS(Adjustments!I$5:I$557,Adjustments!$B$5:$B$557,'Jul17-Jun18 Retail'!#REF!,Adjustments!$C$5:$C$557,'Jul17-Jun18 Retail'!#REF!)</f>
        <v>0</v>
      </c>
      <c r="AJ37" s="40">
        <f ca="1">SUMIFS(Adjustments!J$5:J$557,Adjustments!$B$5:$B$557,'Jul17-Jun18 Retail'!#REF!,Adjustments!$C$5:$C$557,'Jul17-Jun18 Retail'!#REF!)</f>
        <v>0</v>
      </c>
      <c r="AK37" s="40">
        <f ca="1">SUMIFS(Adjustments!K$5:K$557,Adjustments!$B$5:$B$557,'Jul17-Jun18 Retail'!#REF!,Adjustments!$C$5:$C$557,'Jul17-Jun18 Retail'!#REF!)</f>
        <v>0</v>
      </c>
      <c r="AL37" s="40">
        <f ca="1">SUMIFS(Adjustments!L$5:L$557,Adjustments!$B$5:$B$557,'Jul17-Jun18 Retail'!#REF!,Adjustments!$C$5:$C$557,'Jul17-Jun18 Retail'!#REF!)</f>
        <v>0</v>
      </c>
      <c r="AM37" s="40">
        <f ca="1">SUMIFS(Adjustments!M$5:M$557,Adjustments!$B$5:$B$557,'Jul17-Jun18 Retail'!#REF!,Adjustments!$C$5:$C$557,'Jul17-Jun18 Retail'!#REF!)</f>
        <v>0</v>
      </c>
      <c r="AN37" s="40">
        <f ca="1">SUMIFS(Adjustments!N$5:N$557,Adjustments!$B$5:$B$557,'Jul17-Jun18 Retail'!#REF!,Adjustments!$C$5:$C$557,'Jul17-Jun18 Retail'!#REF!)</f>
        <v>0</v>
      </c>
      <c r="AO37" s="40">
        <f ca="1">SUMIFS(Adjustments!O$5:O$557,Adjustments!$B$5:$B$557,'Jul17-Jun18 Retail'!#REF!,Adjustments!$C$5:$C$557,'Jul17-Jun18 Retail'!#REF!)</f>
        <v>0</v>
      </c>
      <c r="AP37" s="40">
        <f ca="1">SUMIFS(Adjustments!P$5:P$557,Adjustments!$B$5:$B$557,'Jul17-Jun18 Retail'!#REF!,Adjustments!$C$5:$C$557,'Jul17-Jun18 Retail'!#REF!)</f>
        <v>0</v>
      </c>
      <c r="AQ37" s="28">
        <f t="shared" ca="1" si="132"/>
        <v>0</v>
      </c>
      <c r="AR37" s="28">
        <f t="shared" ca="1" si="148"/>
        <v>900</v>
      </c>
      <c r="AS37" s="28">
        <f t="shared" ca="1" si="133"/>
        <v>165337.34011437296</v>
      </c>
      <c r="AT37" s="28">
        <f t="shared" ca="1" si="134"/>
        <v>0</v>
      </c>
      <c r="AU37" s="28">
        <f t="shared" si="149"/>
        <v>2750</v>
      </c>
      <c r="AV37" s="28">
        <f t="shared" si="150"/>
        <v>150</v>
      </c>
      <c r="AW37" s="35">
        <f t="shared" si="151"/>
        <v>0</v>
      </c>
      <c r="AX37" s="35">
        <f t="shared" si="152"/>
        <v>0</v>
      </c>
      <c r="AY37" s="35">
        <f t="shared" si="153"/>
        <v>0</v>
      </c>
      <c r="AZ37" s="35">
        <f t="shared" si="135"/>
        <v>12096.423284533501</v>
      </c>
      <c r="BA37" s="28">
        <f t="shared" ca="1" si="136"/>
        <v>0</v>
      </c>
      <c r="BB37" s="28"/>
      <c r="BC37" s="35">
        <f ca="1">ROUND(SUM(AQ37:BB37),2)</f>
        <v>181233.76</v>
      </c>
      <c r="BD37" s="35">
        <f t="shared" si="154"/>
        <v>181233.76340494849</v>
      </c>
      <c r="BE37" s="36">
        <f t="shared" ca="1" si="138"/>
        <v>1</v>
      </c>
      <c r="BF37" s="35">
        <f>SUMIFS('Fin Forecast'!$O$3:$O$600,'Fin Forecast'!$B$3:$B$600,'Jul17-Jun18 Transport'!$E37,'Fin Forecast'!$C$3:$C$600,'Jul17-Jun18 Transport'!$BF$5)*1000</f>
        <v>0</v>
      </c>
      <c r="BG37" s="35">
        <f>SUMIFS('Fin Forecast'!$O$3:$O$600,'Fin Forecast'!$B$3:$B$600,'Jul17-Jun18 Transport'!$E37,'Fin Forecast'!$C$3:$C$600,'Jul17-Jun18 Transport'!$BG$5)*1000</f>
        <v>0</v>
      </c>
      <c r="BH37" s="35"/>
      <c r="BI37" s="35">
        <f>SUMIFS('Fin Forecast'!$O$3:$O$600,'Fin Forecast'!$B$3:$B$600,'Jul17-Jun18 Transport'!$E37,'Fin Forecast'!$C$3:$C$600,'Jul17-Jun18 Transport'!$BI$5)*1000</f>
        <v>150</v>
      </c>
      <c r="BJ37" s="35">
        <f>SUMIFS('Fin Forecast'!$O$3:$O$600,'Fin Forecast'!$B$3:$B$600,'Jul17-Jun18 Transport'!$E37,'Fin Forecast'!$C$3:$C$600,'Jul17-Jun18 Transport'!$BJ$5)*1000</f>
        <v>2750</v>
      </c>
      <c r="BK37" s="35">
        <f>SUMIFS('Fin Forecast'!$O$3:$O$600,'Fin Forecast'!$B$3:$B$600,'Jul17-Jun18 Transport'!$E37,'Fin Forecast'!$C$3:$C$600,'Jul17-Jun18 Transport'!$BK$5)*1000</f>
        <v>900</v>
      </c>
      <c r="BL37" s="35">
        <f>SUMIFS('Fin Forecast'!$O$3:$O$600,'Fin Forecast'!$B$3:$B$600,'Jul17-Jun18 Transport'!$E37,'Fin Forecast'!$C$3:$C$600,'Jul17-Jun18 Transport'!$BL$5)*1000</f>
        <v>165337.340120415</v>
      </c>
      <c r="BM37" s="35">
        <f>SUMIFS('Fin Forecast'!$O$3:$O$600,'Fin Forecast'!$B$3:$B$600,'Jul17-Jun18 Transport'!$E37,'Fin Forecast'!$C$3:$C$600,'Jul17-Jun18 Transport'!$BM$5)*1000</f>
        <v>0</v>
      </c>
      <c r="BN37" s="35">
        <f>SUMIFS('Fin Forecast'!$O$3:$O$600,'Fin Forecast'!$B$3:$B$600,'Jul17-Jun18 Transport'!$E37,'Fin Forecast'!$C$3:$C$600,'Jul17-Jun18 Transport'!$BN$5)*1000</f>
        <v>12096.423284533501</v>
      </c>
      <c r="BP37" s="44">
        <f t="shared" ca="1" si="139"/>
        <v>-3.4049484820570797E-3</v>
      </c>
      <c r="BR37" s="49">
        <f t="shared" ca="1" si="140"/>
        <v>0</v>
      </c>
      <c r="BS37" s="49">
        <f t="shared" ca="1" si="141"/>
        <v>-6.0420425143092871E-6</v>
      </c>
      <c r="BT37" s="49">
        <f t="shared" si="142"/>
        <v>0</v>
      </c>
    </row>
    <row r="38" spans="1:72" ht="15" x14ac:dyDescent="0.25">
      <c r="A38" s="418" t="s">
        <v>639</v>
      </c>
      <c r="C38" s="6">
        <f t="shared" si="123"/>
        <v>28</v>
      </c>
      <c r="D38" s="361">
        <f t="shared" si="155"/>
        <v>43040</v>
      </c>
      <c r="E38" s="361" t="s">
        <v>87</v>
      </c>
      <c r="F38" s="6" t="str">
        <f t="shared" si="143"/>
        <v>892</v>
      </c>
      <c r="G38" s="6" t="str">
        <f>VLOOKUP(E38,'Retail Rates'!$B$7:$D$34,3,FALSE)</f>
        <v>AAGS-I-TS-2</v>
      </c>
      <c r="H38" s="25">
        <f>SUMIF('Forcasted Customer Cts'!$D$5:$D$36,'Jul17-Jun18 Transport'!$E38,'Forcasted Customer Cts'!$T$5:$T$36)</f>
        <v>2</v>
      </c>
      <c r="I38" s="25"/>
      <c r="J38" s="25"/>
      <c r="K38" s="25">
        <f>SUMIF('Forecasted Calendar Month Usage'!$D$5:$D$41,'Jul17-Jun18 Transport'!$E38,'Forecasted Calendar Month Usage'!$AB$5:$AB$41)*10</f>
        <v>503930.77664057061</v>
      </c>
      <c r="L38" s="25"/>
      <c r="M38" s="25"/>
      <c r="N38" s="25"/>
      <c r="O38" s="26">
        <f>VLOOKUP($E38,'Retail Rates'!$B$7:$L$34,5,FALSE)</f>
        <v>400</v>
      </c>
      <c r="P38" s="26">
        <f>VLOOKUP($E38,'Retail Rates'!$B$7:$L$34,6,FALSE)</f>
        <v>0</v>
      </c>
      <c r="Q38" s="26">
        <f>VLOOKUP($E38,'Retail Rates'!$B$7:$L$34,9,FALSE)</f>
        <v>550</v>
      </c>
      <c r="R38" s="27">
        <f>VLOOKUP($E38,'Retail Rates'!$B$7:$L$34,7,FALSE)</f>
        <v>7.009E-2</v>
      </c>
      <c r="S38" s="27">
        <f>VLOOKUP($E38,'Retail Rates'!$B$7:$L$34,8,FALSE)</f>
        <v>0</v>
      </c>
      <c r="T38" s="309">
        <v>75</v>
      </c>
      <c r="U38" s="26">
        <f>VLOOKUP($E38,'Retail Rates'!$B$7:$L$34,11,FALSE)</f>
        <v>0</v>
      </c>
      <c r="V38" s="309"/>
      <c r="W38" s="309"/>
      <c r="X38" s="28">
        <f t="shared" ref="X38:X40" si="156">(+H38*O38)+(I38*O38)</f>
        <v>800</v>
      </c>
      <c r="Y38" s="28">
        <f t="shared" si="144"/>
        <v>0</v>
      </c>
      <c r="Z38" s="28">
        <f t="shared" ref="Z38:Z40" si="157">H38*Q38</f>
        <v>1100</v>
      </c>
      <c r="AA38" s="28">
        <f t="shared" si="130"/>
        <v>35320.508134737596</v>
      </c>
      <c r="AB38" s="28">
        <f t="shared" si="145"/>
        <v>0</v>
      </c>
      <c r="AC38" s="28">
        <f t="shared" si="146"/>
        <v>0</v>
      </c>
      <c r="AD38" s="28">
        <f t="shared" ref="AD38:AD40" si="158">H38*V38</f>
        <v>0</v>
      </c>
      <c r="AE38" s="28"/>
      <c r="AF38" s="28">
        <f t="shared" si="131"/>
        <v>0</v>
      </c>
      <c r="AG38" s="28"/>
      <c r="AH38" s="48">
        <f ca="1">SUMIFS(Adjustments!H$5:H$557,Adjustments!$B$5:$B$557,'Jul17-Jun18 Retail'!$D37,Adjustments!$C$5:$C$557,'Jul17-Jun18 Retail'!$E37)</f>
        <v>0</v>
      </c>
      <c r="AI38" s="48">
        <f ca="1">SUMIFS(Adjustments!I$5:I$557,Adjustments!$B$5:$B$557,'Jul17-Jun18 Retail'!$D37,Adjustments!$C$5:$C$557,'Jul17-Jun18 Retail'!$E37)</f>
        <v>0</v>
      </c>
      <c r="AJ38" s="40">
        <f ca="1">SUMIFS(Adjustments!J$5:J$557,Adjustments!$B$5:$B$557,'Jul17-Jun18 Retail'!$D37,Adjustments!$C$5:$C$557,'Jul17-Jun18 Retail'!$E37)</f>
        <v>0</v>
      </c>
      <c r="AK38" s="40">
        <f ca="1">SUMIFS(Adjustments!K$5:K$557,Adjustments!$B$5:$B$557,'Jul17-Jun18 Retail'!$D37,Adjustments!$C$5:$C$557,'Jul17-Jun18 Retail'!$E37)</f>
        <v>0</v>
      </c>
      <c r="AL38" s="40">
        <f ca="1">SUMIFS(Adjustments!L$5:L$557,Adjustments!$B$5:$B$557,'Jul17-Jun18 Retail'!$D37,Adjustments!$C$5:$C$557,'Jul17-Jun18 Retail'!$E37)</f>
        <v>0</v>
      </c>
      <c r="AM38" s="40">
        <f ca="1">SUMIFS(Adjustments!M$5:M$557,Adjustments!$B$5:$B$557,'Jul17-Jun18 Retail'!$D37,Adjustments!$C$5:$C$557,'Jul17-Jun18 Retail'!$E37)</f>
        <v>0</v>
      </c>
      <c r="AN38" s="40">
        <f ca="1">SUMIFS(Adjustments!N$5:N$557,Adjustments!$B$5:$B$557,'Jul17-Jun18 Retail'!$D37,Adjustments!$C$5:$C$557,'Jul17-Jun18 Retail'!$E37)</f>
        <v>0</v>
      </c>
      <c r="AO38" s="40">
        <f ca="1">SUMIFS(Adjustments!O$5:O$557,Adjustments!$B$5:$B$557,'Jul17-Jun18 Retail'!$D37,Adjustments!$C$5:$C$557,'Jul17-Jun18 Retail'!$E37)</f>
        <v>0</v>
      </c>
      <c r="AP38" s="40">
        <f ca="1">SUMIFS(Adjustments!P$5:P$557,Adjustments!$B$5:$B$557,'Jul17-Jun18 Retail'!$D37,Adjustments!$C$5:$C$557,'Jul17-Jun18 Retail'!$E37)</f>
        <v>0</v>
      </c>
      <c r="AQ38" s="28">
        <f t="shared" ca="1" si="132"/>
        <v>800</v>
      </c>
      <c r="AR38" s="28">
        <f t="shared" ca="1" si="148"/>
        <v>0</v>
      </c>
      <c r="AS38" s="28">
        <f t="shared" ca="1" si="133"/>
        <v>35320.508134737596</v>
      </c>
      <c r="AT38" s="28">
        <f t="shared" ca="1" si="134"/>
        <v>0</v>
      </c>
      <c r="AU38" s="28">
        <f t="shared" si="149"/>
        <v>1100</v>
      </c>
      <c r="AV38" s="28">
        <f t="shared" si="150"/>
        <v>0</v>
      </c>
      <c r="AW38" s="35">
        <f t="shared" si="151"/>
        <v>0</v>
      </c>
      <c r="AX38" s="35">
        <f t="shared" si="152"/>
        <v>0</v>
      </c>
      <c r="AY38" s="35">
        <f t="shared" si="153"/>
        <v>0</v>
      </c>
      <c r="AZ38" s="35">
        <f t="shared" si="135"/>
        <v>7575.2485998001903</v>
      </c>
      <c r="BA38" s="28">
        <f t="shared" ca="1" si="136"/>
        <v>0</v>
      </c>
      <c r="BB38" s="28"/>
      <c r="BC38" s="35">
        <f t="shared" ref="BC38:BC40" ca="1" si="159">ROUND(SUM(AQ38:BB38),2)</f>
        <v>44795.76</v>
      </c>
      <c r="BD38" s="35">
        <f t="shared" si="154"/>
        <v>44795.75673453779</v>
      </c>
      <c r="BE38" s="36">
        <f t="shared" ca="1" si="138"/>
        <v>1</v>
      </c>
      <c r="BF38" s="35">
        <f>SUMIFS('Fin Forecast'!$O$3:$O$600,'Fin Forecast'!$B$3:$B$600,'Jul17-Jun18 Transport'!$E38,'Fin Forecast'!$C$3:$C$600,'Jul17-Jun18 Transport'!$BF$5)*1000</f>
        <v>0</v>
      </c>
      <c r="BG38" s="35">
        <f>SUMIFS('Fin Forecast'!$O$3:$O$600,'Fin Forecast'!$B$3:$B$600,'Jul17-Jun18 Transport'!$E38,'Fin Forecast'!$C$3:$C$600,'Jul17-Jun18 Transport'!$BG$5)*1000</f>
        <v>0</v>
      </c>
      <c r="BH38" s="35"/>
      <c r="BI38" s="35">
        <f>SUMIFS('Fin Forecast'!$O$3:$O$600,'Fin Forecast'!$B$3:$B$600,'Jul17-Jun18 Transport'!$E38,'Fin Forecast'!$C$3:$C$600,'Jul17-Jun18 Transport'!$BI$5)*1000</f>
        <v>0</v>
      </c>
      <c r="BJ38" s="35">
        <f>SUMIFS('Fin Forecast'!$O$3:$O$600,'Fin Forecast'!$B$3:$B$600,'Jul17-Jun18 Transport'!$E38,'Fin Forecast'!$C$3:$C$600,'Jul17-Jun18 Transport'!$BJ$5)*1000</f>
        <v>1100</v>
      </c>
      <c r="BK38" s="35">
        <f>SUMIFS('Fin Forecast'!$O$3:$O$600,'Fin Forecast'!$B$3:$B$600,'Jul17-Jun18 Transport'!$E38,'Fin Forecast'!$C$3:$C$600,'Jul17-Jun18 Transport'!$BK$5)*1000</f>
        <v>800</v>
      </c>
      <c r="BL38" s="35">
        <f>SUMIFS('Fin Forecast'!$O$3:$O$600,'Fin Forecast'!$B$3:$B$600,'Jul17-Jun18 Transport'!$E38,'Fin Forecast'!$C$3:$C$600,'Jul17-Jun18 Transport'!$BL$5)*1000</f>
        <v>35320.508134737604</v>
      </c>
      <c r="BM38" s="35">
        <f>SUMIFS('Fin Forecast'!$O$3:$O$600,'Fin Forecast'!$B$3:$B$600,'Jul17-Jun18 Transport'!$E38,'Fin Forecast'!$C$3:$C$600,'Jul17-Jun18 Transport'!$BM$5)*1000</f>
        <v>0</v>
      </c>
      <c r="BN38" s="35">
        <f>SUMIFS('Fin Forecast'!$O$3:$O$600,'Fin Forecast'!$B$3:$B$600,'Jul17-Jun18 Transport'!$E38,'Fin Forecast'!$C$3:$C$600,'Jul17-Jun18 Transport'!$BN$5)*1000</f>
        <v>7575.2485998001903</v>
      </c>
      <c r="BP38" s="44">
        <f t="shared" ca="1" si="139"/>
        <v>3.2654622118570842E-3</v>
      </c>
      <c r="BR38" s="49">
        <f t="shared" ca="1" si="140"/>
        <v>0</v>
      </c>
      <c r="BS38" s="49">
        <f t="shared" ca="1" si="141"/>
        <v>0</v>
      </c>
      <c r="BT38" s="49">
        <f t="shared" si="142"/>
        <v>0</v>
      </c>
    </row>
    <row r="39" spans="1:72" ht="15" customHeight="1" x14ac:dyDescent="0.25">
      <c r="C39" s="6">
        <f t="shared" si="123"/>
        <v>29</v>
      </c>
      <c r="D39" s="361">
        <f t="shared" si="155"/>
        <v>43040</v>
      </c>
      <c r="E39" s="361" t="s">
        <v>51</v>
      </c>
      <c r="F39" s="6" t="str">
        <f t="shared" si="143"/>
        <v>997</v>
      </c>
      <c r="G39" s="6" t="str">
        <f>VLOOKUP(E39,'Retail Rates'!$B$7:$D$34,3,FALSE)</f>
        <v>SPC-P</v>
      </c>
      <c r="H39" s="25">
        <f>SUMIF('Forcasted Customer Cts'!$D$5:$D$36,'Jul17-Jun18 Transport'!$E39,'Forcasted Customer Cts'!$T$5:$T$36)</f>
        <v>0</v>
      </c>
      <c r="I39" s="25"/>
      <c r="J39" s="25"/>
      <c r="K39" s="25">
        <f>SUMIF('Forecasted Calendar Month Usage'!$D$5:$D$41,'Jul17-Jun18 Transport'!$E39,'Forecasted Calendar Month Usage'!$AB$5:$AB$41)</f>
        <v>0</v>
      </c>
      <c r="L39" s="25"/>
      <c r="M39" s="25"/>
      <c r="N39" s="25"/>
      <c r="O39" s="26">
        <f>VLOOKUP($E39,'Retail Rates'!$B$7:$L$34,5,FALSE)</f>
        <v>800</v>
      </c>
      <c r="P39" s="26">
        <f>VLOOKUP($E39,'Retail Rates'!$B$7:$L$34,6,FALSE)</f>
        <v>0</v>
      </c>
      <c r="Q39" s="26">
        <f>VLOOKUP($E39,'Retail Rates'!$B$7:$L$34,9,FALSE)</f>
        <v>0</v>
      </c>
      <c r="R39" s="27">
        <f>VLOOKUP($E39,'Retail Rates'!$B$7:$L$34,7,FALSE)</f>
        <v>4.9699999999999996E-3</v>
      </c>
      <c r="S39" s="27">
        <f>VLOOKUP($E39,'Retail Rates'!$B$7:$L$34,8,FALSE)</f>
        <v>0</v>
      </c>
      <c r="T39" s="309">
        <v>0</v>
      </c>
      <c r="U39" s="403">
        <f>VLOOKUP($E39,'Retail Rates'!$B$7:$L$34,11,FALSE)</f>
        <v>0.24801000000000001</v>
      </c>
      <c r="V39" s="27"/>
      <c r="W39" s="309"/>
      <c r="X39" s="28">
        <f t="shared" si="156"/>
        <v>0</v>
      </c>
      <c r="Y39" s="28">
        <f t="shared" si="144"/>
        <v>0</v>
      </c>
      <c r="Z39" s="28">
        <f t="shared" si="157"/>
        <v>0</v>
      </c>
      <c r="AA39" s="28">
        <f t="shared" si="130"/>
        <v>0</v>
      </c>
      <c r="AB39" s="28">
        <f t="shared" si="145"/>
        <v>0</v>
      </c>
      <c r="AC39" s="28">
        <f t="shared" si="146"/>
        <v>0</v>
      </c>
      <c r="AD39" s="28">
        <f t="shared" si="158"/>
        <v>0</v>
      </c>
      <c r="AE39" s="28"/>
      <c r="AF39" s="28">
        <f t="shared" si="131"/>
        <v>0</v>
      </c>
      <c r="AG39" s="28"/>
      <c r="AH39" s="48">
        <f ca="1">SUMIFS(Adjustments!H$5:H$557,Adjustments!$B$5:$B$557,'Jul17-Jun18 Retail'!#REF!,Adjustments!$C$5:$C$557,'Jul17-Jun18 Retail'!#REF!)</f>
        <v>0</v>
      </c>
      <c r="AI39" s="48">
        <f ca="1">SUMIFS(Adjustments!I$5:I$557,Adjustments!$B$5:$B$557,'Jul17-Jun18 Retail'!#REF!,Adjustments!$C$5:$C$557,'Jul17-Jun18 Retail'!#REF!)</f>
        <v>0</v>
      </c>
      <c r="AJ39" s="40">
        <f ca="1">SUMIFS(Adjustments!J$5:J$557,Adjustments!$B$5:$B$557,'Jul17-Jun18 Retail'!#REF!,Adjustments!$C$5:$C$557,'Jul17-Jun18 Retail'!#REF!)</f>
        <v>0</v>
      </c>
      <c r="AK39" s="40">
        <f ca="1">SUMIFS(Adjustments!K$5:K$557,Adjustments!$B$5:$B$557,'Jul17-Jun18 Retail'!#REF!,Adjustments!$C$5:$C$557,'Jul17-Jun18 Retail'!#REF!)</f>
        <v>0</v>
      </c>
      <c r="AL39" s="40">
        <f ca="1">SUMIFS(Adjustments!L$5:L$557,Adjustments!$B$5:$B$557,'Jul17-Jun18 Retail'!#REF!,Adjustments!$C$5:$C$557,'Jul17-Jun18 Retail'!#REF!)</f>
        <v>0</v>
      </c>
      <c r="AM39" s="40">
        <f ca="1">SUMIFS(Adjustments!M$5:M$557,Adjustments!$B$5:$B$557,'Jul17-Jun18 Retail'!#REF!,Adjustments!$C$5:$C$557,'Jul17-Jun18 Retail'!#REF!)</f>
        <v>0</v>
      </c>
      <c r="AN39" s="40">
        <f ca="1">SUMIFS(Adjustments!N$5:N$557,Adjustments!$B$5:$B$557,'Jul17-Jun18 Retail'!#REF!,Adjustments!$C$5:$C$557,'Jul17-Jun18 Retail'!#REF!)</f>
        <v>0</v>
      </c>
      <c r="AO39" s="40">
        <f ca="1">SUMIFS(Adjustments!O$5:O$557,Adjustments!$B$5:$B$557,'Jul17-Jun18 Retail'!#REF!,Adjustments!$C$5:$C$557,'Jul17-Jun18 Retail'!#REF!)</f>
        <v>0</v>
      </c>
      <c r="AP39" s="40">
        <f ca="1">SUMIFS(Adjustments!P$5:P$557,Adjustments!$B$5:$B$557,'Jul17-Jun18 Retail'!#REF!,Adjustments!$C$5:$C$557,'Jul17-Jun18 Retail'!#REF!)</f>
        <v>0</v>
      </c>
      <c r="AQ39" s="28">
        <f t="shared" ca="1" si="132"/>
        <v>0</v>
      </c>
      <c r="AR39" s="28">
        <f t="shared" ca="1" si="148"/>
        <v>0</v>
      </c>
      <c r="AS39" s="28">
        <f t="shared" ca="1" si="133"/>
        <v>0</v>
      </c>
      <c r="AT39" s="28">
        <f t="shared" ca="1" si="134"/>
        <v>0</v>
      </c>
      <c r="AU39" s="28">
        <f t="shared" si="149"/>
        <v>0</v>
      </c>
      <c r="AV39" s="28">
        <f t="shared" si="150"/>
        <v>0</v>
      </c>
      <c r="AW39" s="35">
        <f t="shared" si="151"/>
        <v>0</v>
      </c>
      <c r="AX39" s="35">
        <f t="shared" si="152"/>
        <v>0</v>
      </c>
      <c r="AY39" s="35">
        <f t="shared" si="153"/>
        <v>0</v>
      </c>
      <c r="AZ39" s="35">
        <f t="shared" si="135"/>
        <v>0</v>
      </c>
      <c r="BA39" s="28">
        <f t="shared" ca="1" si="136"/>
        <v>0</v>
      </c>
      <c r="BB39" s="28"/>
      <c r="BC39" s="35">
        <f t="shared" ca="1" si="159"/>
        <v>0</v>
      </c>
      <c r="BD39" s="35">
        <f t="shared" si="154"/>
        <v>0</v>
      </c>
      <c r="BE39" s="36">
        <f t="shared" si="138"/>
        <v>0</v>
      </c>
      <c r="BF39" s="35">
        <f>SUMIFS('Fin Forecast'!$O$3:$O$600,'Fin Forecast'!$B$3:$B$600,'Jul17-Jun18 Transport'!$E39,'Fin Forecast'!$C$3:$C$600,'Jul17-Jun18 Transport'!$BF$5)*1000</f>
        <v>0</v>
      </c>
      <c r="BG39" s="35">
        <f>SUMIFS('Fin Forecast'!$O$3:$O$600,'Fin Forecast'!$B$3:$B$600,'Jul17-Jun18 Transport'!$E39,'Fin Forecast'!$C$3:$C$600,'Jul17-Jun18 Transport'!$BG$5)*1000</f>
        <v>0</v>
      </c>
      <c r="BH39" s="35"/>
      <c r="BI39" s="35">
        <f>SUMIFS('Fin Forecast'!$O$3:$O$600,'Fin Forecast'!$B$3:$B$600,'Jul17-Jun18 Transport'!$E39,'Fin Forecast'!$C$3:$C$600,'Jul17-Jun18 Transport'!$BI$5)*1000</f>
        <v>0</v>
      </c>
      <c r="BJ39" s="35">
        <f>SUMIFS('Fin Forecast'!$O$3:$O$600,'Fin Forecast'!$B$3:$B$600,'Jul17-Jun18 Transport'!$E39,'Fin Forecast'!$C$3:$C$600,'Jul17-Jun18 Transport'!$BJ$5)*1000</f>
        <v>0</v>
      </c>
      <c r="BK39" s="35">
        <f>SUMIFS('Fin Forecast'!$O$3:$O$600,'Fin Forecast'!$B$3:$B$600,'Jul17-Jun18 Transport'!$E39,'Fin Forecast'!$C$3:$C$600,'Jul17-Jun18 Transport'!$BK$5)*1000</f>
        <v>0</v>
      </c>
      <c r="BL39" s="35">
        <f>SUMIFS('Fin Forecast'!$O$3:$O$600,'Fin Forecast'!$B$3:$B$600,'Jul17-Jun18 Transport'!$E39,'Fin Forecast'!$C$3:$C$600,'Jul17-Jun18 Transport'!$BL$5)*1000</f>
        <v>0</v>
      </c>
      <c r="BM39" s="35">
        <f>SUMIFS('Fin Forecast'!$O$3:$O$600,'Fin Forecast'!$B$3:$B$600,'Jul17-Jun18 Transport'!$E39,'Fin Forecast'!$C$3:$C$600,'Jul17-Jun18 Transport'!$BM$5)*1000</f>
        <v>0</v>
      </c>
      <c r="BN39" s="35">
        <f>SUMIFS('Fin Forecast'!$O$3:$O$600,'Fin Forecast'!$B$3:$B$600,'Jul17-Jun18 Transport'!$E39,'Fin Forecast'!$C$3:$C$600,'Jul17-Jun18 Transport'!$BN$5)*1000</f>
        <v>0</v>
      </c>
      <c r="BP39" s="44">
        <f t="shared" ca="1" si="139"/>
        <v>0</v>
      </c>
      <c r="BR39" s="49">
        <f t="shared" ca="1" si="140"/>
        <v>0</v>
      </c>
      <c r="BS39" s="49">
        <f t="shared" ca="1" si="141"/>
        <v>0</v>
      </c>
      <c r="BT39" s="49">
        <f t="shared" si="142"/>
        <v>0</v>
      </c>
    </row>
    <row r="40" spans="1:72" ht="15" customHeight="1" x14ac:dyDescent="0.25">
      <c r="C40" s="6">
        <f t="shared" si="123"/>
        <v>30</v>
      </c>
      <c r="D40" s="361">
        <f t="shared" si="155"/>
        <v>43040</v>
      </c>
      <c r="E40" s="361" t="s">
        <v>34</v>
      </c>
      <c r="F40" s="6" t="str">
        <f t="shared" si="143"/>
        <v>996</v>
      </c>
      <c r="G40" s="6" t="s">
        <v>754</v>
      </c>
      <c r="H40" s="25">
        <f>SUMIF('Forcasted Customer Cts'!$D$5:$D$36,'Jul17-Jun18 Transport'!$E40,'Forcasted Customer Cts'!$T$5:$T$36)</f>
        <v>1</v>
      </c>
      <c r="I40" s="25"/>
      <c r="J40" s="25"/>
      <c r="K40" s="25">
        <f>SUMIF('Forecasted Calendar Month Usage'!$D$5:$D$41,'Jul17-Jun18 Transport'!$E40,'Forecasted Calendar Month Usage'!$AB$5:$AB$41)*10</f>
        <v>154601</v>
      </c>
      <c r="L40" s="25"/>
      <c r="M40" s="25"/>
      <c r="N40" s="25">
        <f>16560*10</f>
        <v>165600</v>
      </c>
      <c r="O40" s="26">
        <f>VLOOKUP($E40,'Retail Rates'!$B$7:$L$34,5,FALSE)</f>
        <v>180</v>
      </c>
      <c r="P40" s="26">
        <f>VLOOKUP($E40,'Retail Rates'!$B$7:$L$34,6,FALSE)</f>
        <v>0</v>
      </c>
      <c r="Q40" s="26">
        <f>VLOOKUP($E40,'Retail Rates'!$B$7:$L$34,9,FALSE)</f>
        <v>0</v>
      </c>
      <c r="R40" s="27">
        <f>VLOOKUP($E40,'Retail Rates'!$B$7:$L$34,7,FALSE)</f>
        <v>3.329E-2</v>
      </c>
      <c r="S40" s="27">
        <f>VLOOKUP($E40,'Retail Rates'!$B$7:$L$34,8,FALSE)</f>
        <v>0</v>
      </c>
      <c r="T40" s="309">
        <v>0</v>
      </c>
      <c r="U40" s="403">
        <f>VLOOKUP($E40,'Retail Rates'!$B$7:$L$34,11,FALSE)</f>
        <v>1.12629</v>
      </c>
      <c r="V40" s="27"/>
      <c r="W40" s="309"/>
      <c r="X40" s="28">
        <f t="shared" si="156"/>
        <v>180</v>
      </c>
      <c r="Y40" s="28">
        <f t="shared" si="144"/>
        <v>0</v>
      </c>
      <c r="Z40" s="28">
        <f t="shared" si="157"/>
        <v>0</v>
      </c>
      <c r="AA40" s="28">
        <f t="shared" si="130"/>
        <v>5146.6672900000003</v>
      </c>
      <c r="AB40" s="28">
        <f t="shared" si="145"/>
        <v>0</v>
      </c>
      <c r="AC40" s="28">
        <f t="shared" si="146"/>
        <v>0</v>
      </c>
      <c r="AD40" s="28">
        <f t="shared" si="158"/>
        <v>0</v>
      </c>
      <c r="AE40" s="28"/>
      <c r="AF40" s="28">
        <f>N40*U40</f>
        <v>186513.62400000001</v>
      </c>
      <c r="AG40" s="28"/>
      <c r="AH40" s="48">
        <f ca="1">SUMIFS(Adjustments!H$5:H$557,Adjustments!$B$5:$B$557,'Jul17-Jun18 Retail'!$D38,Adjustments!$C$5:$C$557,'Jul17-Jun18 Retail'!$E38)</f>
        <v>0</v>
      </c>
      <c r="AI40" s="48">
        <f ca="1">SUMIFS(Adjustments!I$5:I$557,Adjustments!$B$5:$B$557,'Jul17-Jun18 Retail'!$D38,Adjustments!$C$5:$C$557,'Jul17-Jun18 Retail'!$E38)</f>
        <v>0</v>
      </c>
      <c r="AJ40" s="40">
        <f ca="1">SUMIFS(Adjustments!J$5:J$557,Adjustments!$B$5:$B$557,'Jul17-Jun18 Retail'!$D38,Adjustments!$C$5:$C$557,'Jul17-Jun18 Retail'!$E38)</f>
        <v>0</v>
      </c>
      <c r="AK40" s="40">
        <f ca="1">SUMIFS(Adjustments!K$5:K$557,Adjustments!$B$5:$B$557,'Jul17-Jun18 Retail'!$D38,Adjustments!$C$5:$C$557,'Jul17-Jun18 Retail'!$E38)</f>
        <v>0</v>
      </c>
      <c r="AL40" s="40">
        <f ca="1">SUMIFS(Adjustments!L$5:L$557,Adjustments!$B$5:$B$557,'Jul17-Jun18 Retail'!$D38,Adjustments!$C$5:$C$557,'Jul17-Jun18 Retail'!$E38)</f>
        <v>0</v>
      </c>
      <c r="AM40" s="40">
        <f ca="1">SUMIFS(Adjustments!M$5:M$557,Adjustments!$B$5:$B$557,'Jul17-Jun18 Retail'!$D38,Adjustments!$C$5:$C$557,'Jul17-Jun18 Retail'!$E38)</f>
        <v>0</v>
      </c>
      <c r="AN40" s="40">
        <f ca="1">SUMIFS(Adjustments!N$5:N$557,Adjustments!$B$5:$B$557,'Jul17-Jun18 Retail'!$D38,Adjustments!$C$5:$C$557,'Jul17-Jun18 Retail'!$E38)</f>
        <v>0</v>
      </c>
      <c r="AO40" s="40">
        <f ca="1">SUMIFS(Adjustments!O$5:O$557,Adjustments!$B$5:$B$557,'Jul17-Jun18 Retail'!$D38,Adjustments!$C$5:$C$557,'Jul17-Jun18 Retail'!$E38)</f>
        <v>0</v>
      </c>
      <c r="AP40" s="40">
        <f ca="1">SUMIFS(Adjustments!P$5:P$557,Adjustments!$B$5:$B$557,'Jul17-Jun18 Retail'!$D38,Adjustments!$C$5:$C$557,'Jul17-Jun18 Retail'!$E38)</f>
        <v>0</v>
      </c>
      <c r="AQ40" s="28">
        <f t="shared" ca="1" si="132"/>
        <v>180</v>
      </c>
      <c r="AR40" s="28">
        <f t="shared" ca="1" si="148"/>
        <v>0</v>
      </c>
      <c r="AS40" s="28">
        <f t="shared" ca="1" si="133"/>
        <v>5146.6672900000003</v>
      </c>
      <c r="AT40" s="28">
        <f t="shared" ca="1" si="134"/>
        <v>0</v>
      </c>
      <c r="AU40" s="28">
        <f t="shared" si="149"/>
        <v>0</v>
      </c>
      <c r="AV40" s="28">
        <f t="shared" si="150"/>
        <v>0</v>
      </c>
      <c r="AW40" s="35">
        <f t="shared" si="151"/>
        <v>56617.558912874796</v>
      </c>
      <c r="AX40" s="35">
        <f t="shared" si="152"/>
        <v>0</v>
      </c>
      <c r="AY40" s="35">
        <f t="shared" si="153"/>
        <v>0</v>
      </c>
      <c r="AZ40" s="35">
        <f t="shared" si="135"/>
        <v>0</v>
      </c>
      <c r="BA40" s="28">
        <f t="shared" ca="1" si="136"/>
        <v>186513.62400000001</v>
      </c>
      <c r="BB40" s="28"/>
      <c r="BC40" s="35">
        <f t="shared" ca="1" si="159"/>
        <v>248457.85</v>
      </c>
      <c r="BD40" s="35">
        <f t="shared" si="154"/>
        <v>248457.85020287478</v>
      </c>
      <c r="BE40" s="36">
        <f t="shared" ca="1" si="138"/>
        <v>1</v>
      </c>
      <c r="BF40" s="35">
        <f>SUMIFS('Fin Forecast'!$O$3:$O$600,'Fin Forecast'!$B$3:$B$600,'Jul17-Jun18 Transport'!$E40,'Fin Forecast'!$C$3:$C$600,'Jul17-Jun18 Transport'!$BF$5)*1000</f>
        <v>0</v>
      </c>
      <c r="BG40" s="35">
        <f>SUMIFS('Fin Forecast'!$O$3:$O$600,'Fin Forecast'!$B$3:$B$600,'Jul17-Jun18 Transport'!$E40,'Fin Forecast'!$C$3:$C$600,'Jul17-Jun18 Transport'!$BG$5)*1000</f>
        <v>56617.558912874796</v>
      </c>
      <c r="BH40" s="35"/>
      <c r="BI40" s="35">
        <f>SUMIFS('Fin Forecast'!$O$3:$O$600,'Fin Forecast'!$B$3:$B$600,'Jul17-Jun18 Transport'!$E40,'Fin Forecast'!$C$3:$C$600,'Jul17-Jun18 Transport'!$BI$5)*1000</f>
        <v>0</v>
      </c>
      <c r="BJ40" s="35">
        <f>SUMIFS('Fin Forecast'!$O$3:$O$600,'Fin Forecast'!$B$3:$B$600,'Jul17-Jun18 Transport'!$E40,'Fin Forecast'!$C$3:$C$600,'Jul17-Jun18 Transport'!$BJ$5)*1000</f>
        <v>0</v>
      </c>
      <c r="BK40" s="35">
        <f>SUMIFS('Fin Forecast'!$O$3:$O$600,'Fin Forecast'!$B$3:$B$600,'Jul17-Jun18 Transport'!$E40,'Fin Forecast'!$C$3:$C$600,'Jul17-Jun18 Transport'!$BK$5)*1000</f>
        <v>180</v>
      </c>
      <c r="BL40" s="35">
        <f>SUMIFS('Fin Forecast'!$O$3:$O$600,'Fin Forecast'!$B$3:$B$600,'Jul17-Jun18 Transport'!$E40,'Fin Forecast'!$C$3:$C$600,'Jul17-Jun18 Transport'!$BL$5)*1000</f>
        <v>5146.6672900000003</v>
      </c>
      <c r="BM40" s="35">
        <f>SUMIFS('Fin Forecast'!$O$3:$O$600,'Fin Forecast'!$B$3:$B$600,'Jul17-Jun18 Transport'!$E40,'Fin Forecast'!$C$3:$C$600,'Jul17-Jun18 Transport'!$BM$5)*1000</f>
        <v>186513.62399999998</v>
      </c>
      <c r="BN40" s="35">
        <f>SUMIFS('Fin Forecast'!$O$3:$O$600,'Fin Forecast'!$B$3:$B$600,'Jul17-Jun18 Transport'!$E40,'Fin Forecast'!$C$3:$C$600,'Jul17-Jun18 Transport'!$BN$5)*1000</f>
        <v>0</v>
      </c>
      <c r="BP40" s="44">
        <f t="shared" ca="1" si="139"/>
        <v>-2.0287476945668459E-4</v>
      </c>
      <c r="BR40" s="49">
        <f t="shared" ca="1" si="140"/>
        <v>0</v>
      </c>
      <c r="BS40" s="49">
        <f t="shared" ca="1" si="141"/>
        <v>0</v>
      </c>
      <c r="BT40" s="49">
        <f t="shared" si="142"/>
        <v>0</v>
      </c>
    </row>
    <row r="41" spans="1:72" s="323" customFormat="1" ht="15" customHeight="1" x14ac:dyDescent="0.25">
      <c r="C41" s="324"/>
      <c r="D41" s="362"/>
      <c r="E41" s="362"/>
      <c r="F41" s="324"/>
      <c r="G41" s="324"/>
      <c r="H41" s="325"/>
      <c r="I41" s="325"/>
      <c r="J41" s="325"/>
      <c r="K41" s="325"/>
      <c r="L41" s="325"/>
      <c r="M41" s="325"/>
      <c r="N41" s="325"/>
      <c r="O41" s="326"/>
      <c r="P41" s="326"/>
      <c r="Q41" s="327"/>
      <c r="R41" s="327"/>
      <c r="S41" s="327"/>
      <c r="T41" s="326"/>
      <c r="U41" s="327"/>
      <c r="V41" s="326"/>
      <c r="W41" s="328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30"/>
      <c r="AI41" s="330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31"/>
      <c r="BF41" s="329"/>
      <c r="BG41" s="329"/>
      <c r="BH41" s="329"/>
      <c r="BI41" s="329"/>
      <c r="BJ41" s="329"/>
      <c r="BK41" s="329"/>
      <c r="BL41" s="329"/>
      <c r="BM41" s="329"/>
      <c r="BN41" s="329"/>
      <c r="BP41" s="329"/>
      <c r="BR41" s="329"/>
      <c r="BS41" s="329"/>
      <c r="BT41" s="329"/>
    </row>
    <row r="42" spans="1:72" ht="15" x14ac:dyDescent="0.25">
      <c r="C42" s="6">
        <f>C40+1</f>
        <v>31</v>
      </c>
      <c r="D42" s="361">
        <f>EDATE(D35,1)</f>
        <v>43070</v>
      </c>
      <c r="E42" s="361" t="s">
        <v>41</v>
      </c>
      <c r="F42" s="6" t="str">
        <f>MID(E42,6,3)</f>
        <v>895</v>
      </c>
      <c r="G42" s="6" t="str">
        <f>VLOOKUP(E42,'Retail Rates'!$B$7:$D$34,3,FALSE)</f>
        <v>FT-C</v>
      </c>
      <c r="H42" s="25">
        <f>SUMIF('Forcasted Customer Cts'!$D$5:$D$36,'Jul17-Jun18 Transport'!$E42,'Forcasted Customer Cts'!$U$5:$U$36)</f>
        <v>73</v>
      </c>
      <c r="I42" s="25"/>
      <c r="J42" s="25"/>
      <c r="K42" s="25">
        <f>SUMIF('Forecasted Calendar Month Usage'!$D$5:$D$41,'Jul17-Jun18 Transport'!$E42,'Forecasted Calendar Month Usage'!$AC$5:$AC$41)*10</f>
        <v>14794975.100335963</v>
      </c>
      <c r="L42" s="25"/>
      <c r="M42" s="25">
        <v>69</v>
      </c>
      <c r="N42" s="25"/>
      <c r="O42" s="26">
        <f>VLOOKUP($E42,'Retail Rates'!$B$7:$L$34,5,FALSE)</f>
        <v>0</v>
      </c>
      <c r="P42" s="26">
        <f>VLOOKUP($E42,'Retail Rates'!$B$7:$L$34,6,FALSE)</f>
        <v>0</v>
      </c>
      <c r="Q42" s="26">
        <f>VLOOKUP($E42,'Retail Rates'!$B$7:$L$34,9,FALSE)</f>
        <v>550</v>
      </c>
      <c r="R42" s="27">
        <f>VLOOKUP($E42,'Retail Rates'!$B$7:$L$34,7,FALSE)</f>
        <v>4.3020000000000003E-2</v>
      </c>
      <c r="S42" s="27">
        <f>VLOOKUP($E42,'Retail Rates'!$B$7:$L$34,8,FALSE)</f>
        <v>0</v>
      </c>
      <c r="T42" s="309">
        <v>75</v>
      </c>
      <c r="U42" s="26">
        <f>VLOOKUP($E42,'Retail Rates'!$B$7:$L$34,11,FALSE)</f>
        <v>0</v>
      </c>
      <c r="V42" s="27"/>
      <c r="W42" s="309"/>
      <c r="X42" s="28">
        <f t="shared" ref="X42:X43" si="160">(+H42*O42)+(I42*O42)</f>
        <v>0</v>
      </c>
      <c r="Y42" s="28">
        <f>J42*P42</f>
        <v>0</v>
      </c>
      <c r="Z42" s="28">
        <f>H42*Q42</f>
        <v>40150</v>
      </c>
      <c r="AA42" s="28">
        <f t="shared" ref="AA42:AA47" si="161">+K42*R42</f>
        <v>636479.82881645323</v>
      </c>
      <c r="AB42" s="28">
        <f>+L42*S42</f>
        <v>0</v>
      </c>
      <c r="AC42" s="28">
        <f>M42*T42</f>
        <v>5175</v>
      </c>
      <c r="AD42" s="28">
        <f>H42*V42</f>
        <v>0</v>
      </c>
      <c r="AE42" s="28"/>
      <c r="AF42" s="28">
        <f t="shared" ref="AF42:AF46" si="162">N42*U42</f>
        <v>0</v>
      </c>
      <c r="AG42" s="28"/>
      <c r="AH42" s="48">
        <f ca="1">SUMIFS(Adjustments!H$5:H$557,Adjustments!$B$5:$B$557,'Jul17-Jun18 Retail'!$D42,Adjustments!$C$5:$C$557,'Jul17-Jun18 Retail'!$E42)</f>
        <v>0</v>
      </c>
      <c r="AI42" s="48">
        <f ca="1">SUMIFS(Adjustments!I$5:I$557,Adjustments!$B$5:$B$557,'Jul17-Jun18 Retail'!$D42,Adjustments!$C$5:$C$557,'Jul17-Jun18 Retail'!$E42)</f>
        <v>0</v>
      </c>
      <c r="AJ42" s="40">
        <f ca="1">SUMIFS(Adjustments!J$5:J$557,Adjustments!$B$5:$B$557,'Jul17-Jun18 Retail'!$D42,Adjustments!$C$5:$C$557,'Jul17-Jun18 Retail'!$E42)</f>
        <v>0</v>
      </c>
      <c r="AK42" s="40">
        <f ca="1">SUMIFS(Adjustments!K$5:K$557,Adjustments!$B$5:$B$557,'Jul17-Jun18 Retail'!$D42,Adjustments!$C$5:$C$557,'Jul17-Jun18 Retail'!$E42)</f>
        <v>0</v>
      </c>
      <c r="AL42" s="40">
        <f ca="1">SUMIFS(Adjustments!L$5:L$557,Adjustments!$B$5:$B$557,'Jul17-Jun18 Retail'!$D42,Adjustments!$C$5:$C$557,'Jul17-Jun18 Retail'!$E42)</f>
        <v>0</v>
      </c>
      <c r="AM42" s="40">
        <f ca="1">SUMIFS(Adjustments!M$5:M$557,Adjustments!$B$5:$B$557,'Jul17-Jun18 Retail'!$D42,Adjustments!$C$5:$C$557,'Jul17-Jun18 Retail'!$E42)</f>
        <v>0</v>
      </c>
      <c r="AN42" s="40">
        <f ca="1">SUMIFS(Adjustments!N$5:N$557,Adjustments!$B$5:$B$557,'Jul17-Jun18 Retail'!$D42,Adjustments!$C$5:$C$557,'Jul17-Jun18 Retail'!$E42)</f>
        <v>0</v>
      </c>
      <c r="AO42" s="40">
        <f ca="1">SUMIFS(Adjustments!O$5:O$557,Adjustments!$B$5:$B$557,'Jul17-Jun18 Retail'!$D42,Adjustments!$C$5:$C$557,'Jul17-Jun18 Retail'!$E42)</f>
        <v>0</v>
      </c>
      <c r="AP42" s="40">
        <f ca="1">SUMIFS(Adjustments!P$5:P$557,Adjustments!$B$5:$B$557,'Jul17-Jun18 Retail'!$D42,Adjustments!$C$5:$C$557,'Jul17-Jun18 Retail'!$E42)</f>
        <v>0</v>
      </c>
      <c r="AQ42" s="28">
        <f t="shared" ref="AQ42:AQ47" ca="1" si="163">+X42+AJ42+(AH42*O42)</f>
        <v>0</v>
      </c>
      <c r="AR42" s="28">
        <f ca="1">+Y42+AK42</f>
        <v>0</v>
      </c>
      <c r="AS42" s="28">
        <f t="shared" ref="AS42:AS47" ca="1" si="164">+AA42+AL42</f>
        <v>636479.82881645323</v>
      </c>
      <c r="AT42" s="28">
        <f t="shared" ref="AT42:AT47" ca="1" si="165">+AB42+AM42</f>
        <v>0</v>
      </c>
      <c r="AU42" s="28">
        <f>Z42</f>
        <v>40150</v>
      </c>
      <c r="AV42" s="28">
        <f>AC42</f>
        <v>5175</v>
      </c>
      <c r="AW42" s="35">
        <f>BG42</f>
        <v>0</v>
      </c>
      <c r="AX42" s="35">
        <f>BF42</f>
        <v>46865.043240407314</v>
      </c>
      <c r="AY42" s="35">
        <f>BH42</f>
        <v>0</v>
      </c>
      <c r="AZ42" s="35">
        <f t="shared" ref="AZ42:AZ47" si="166">BN42</f>
        <v>0</v>
      </c>
      <c r="BA42" s="28">
        <f t="shared" ref="BA42:BA47" ca="1" si="167">+AF42+AP42</f>
        <v>0</v>
      </c>
      <c r="BB42" s="28"/>
      <c r="BC42" s="35">
        <f t="shared" ref="BC42:BC43" ca="1" si="168">ROUND(SUM(AQ42:BB42),2)</f>
        <v>728669.87</v>
      </c>
      <c r="BD42" s="35">
        <f>SUM(BF42:BN42)</f>
        <v>728669.87224933319</v>
      </c>
      <c r="BE42" s="36">
        <f t="shared" ref="BE42:BE47" ca="1" si="169">IF(BD42=0,0,ROUND(BD42/BC42,6))</f>
        <v>1</v>
      </c>
      <c r="BF42" s="35">
        <f>SUMIFS('Fin Forecast'!$P$3:$P$600,'Fin Forecast'!$B$3:$B$600,'Jul17-Jun18 Transport'!$E42,'Fin Forecast'!$C$3:$C$600,'Jul17-Jun18 Transport'!$BF$5)*1000</f>
        <v>46865.043240407314</v>
      </c>
      <c r="BG42" s="35">
        <f>SUMIFS('Fin Forecast'!$P$3:$P$600,'Fin Forecast'!$B$3:$B$600,'Jul17-Jun18 Transport'!$E42,'Fin Forecast'!$C$3:$C$600,'Jul17-Jun18 Transport'!$BG$5)*1000</f>
        <v>0</v>
      </c>
      <c r="BH42" s="35"/>
      <c r="BI42" s="35">
        <f>SUMIFS('Fin Forecast'!$P$3:$P$600,'Fin Forecast'!$B$3:$B$600,'Jul17-Jun18 Transport'!$E42,'Fin Forecast'!$C$3:$C$600,'Jul17-Jun18 Transport'!$BI$5)*1000</f>
        <v>5175</v>
      </c>
      <c r="BJ42" s="35">
        <f>SUMIFS('Fin Forecast'!$P$3:$P$600,'Fin Forecast'!$B$3:$B$600,'Jul17-Jun18 Transport'!$E42,'Fin Forecast'!$C$3:$C$600,'Jul17-Jun18 Transport'!$BJ$5)*1000</f>
        <v>40150</v>
      </c>
      <c r="BK42" s="35">
        <f>SUMIFS('Fin Forecast'!$P$3:$P$600,'Fin Forecast'!$B$3:$B$600,'Jul17-Jun18 Transport'!$E42,'Fin Forecast'!$C$3:$C$600,'Jul17-Jun18 Transport'!$BK$5)*1000</f>
        <v>0</v>
      </c>
      <c r="BL42" s="35">
        <f>SUMIFS('Fin Forecast'!$P$3:$P$600,'Fin Forecast'!$B$3:$B$600,'Jul17-Jun18 Transport'!$E42,'Fin Forecast'!$C$3:$C$600,'Jul17-Jun18 Transport'!$BL$5)*1000</f>
        <v>636479.82900892594</v>
      </c>
      <c r="BM42" s="35">
        <f>SUMIFS('Fin Forecast'!$P$3:$P$600,'Fin Forecast'!$B$3:$B$600,'Jul17-Jun18 Transport'!$E42,'Fin Forecast'!$C$3:$C$600,'Jul17-Jun18 Transport'!$BM$5)*1000</f>
        <v>0</v>
      </c>
      <c r="BN42" s="35">
        <f>SUMIFS('Fin Forecast'!$P$3:$P$600,'Fin Forecast'!$B$3:$B$600,'Jul17-Jun18 Transport'!$E42,'Fin Forecast'!$C$3:$C$600,'Jul17-Jun18 Transport'!$BN$5)*1000</f>
        <v>0</v>
      </c>
      <c r="BP42" s="44">
        <f t="shared" ref="BP42:BP47" ca="1" si="170">+BC42-BD42</f>
        <v>-2.2493331925943494E-3</v>
      </c>
      <c r="BR42" s="49">
        <f t="shared" ref="BR42:BR47" ca="1" si="171">+AQ42+AR42-BK42</f>
        <v>0</v>
      </c>
      <c r="BS42" s="49">
        <f t="shared" ref="BS42:BS47" ca="1" si="172">+AS42+AT42-BL42</f>
        <v>-1.9247271120548248E-4</v>
      </c>
      <c r="BT42" s="49">
        <f t="shared" ref="BT42:BT47" si="173">+AW42-BG42</f>
        <v>0</v>
      </c>
    </row>
    <row r="43" spans="1:72" ht="15" x14ac:dyDescent="0.25">
      <c r="C43" s="6">
        <f>C42+1</f>
        <v>32</v>
      </c>
      <c r="D43" s="361">
        <f>$D$42</f>
        <v>43070</v>
      </c>
      <c r="E43" s="361" t="s">
        <v>43</v>
      </c>
      <c r="F43" s="6" t="str">
        <f t="shared" ref="F43:F47" si="174">MID(E43,6,3)</f>
        <v>896</v>
      </c>
      <c r="G43" s="6" t="str">
        <f>VLOOKUP(E43,'Retail Rates'!$B$7:$D$34,3,FALSE)</f>
        <v>FT-I</v>
      </c>
      <c r="H43" s="25">
        <f>SUMIF('Forcasted Customer Cts'!$D$5:$D$36,'Jul17-Jun18 Transport'!$E43,'Forcasted Customer Cts'!$U$5:$U$36)</f>
        <v>0</v>
      </c>
      <c r="I43" s="25"/>
      <c r="J43" s="25"/>
      <c r="K43" s="25">
        <f>SUMIF('Forecasted Calendar Month Usage'!$D$5:$D$41,'Jul17-Jun18 Transport'!$E43,'Forecasted Calendar Month Usage'!$AC$5:$AC$41)*10</f>
        <v>0</v>
      </c>
      <c r="L43" s="25"/>
      <c r="M43" s="25"/>
      <c r="N43" s="25"/>
      <c r="O43" s="26">
        <f>VLOOKUP($E43,'Retail Rates'!$B$7:$L$34,5,FALSE)</f>
        <v>0</v>
      </c>
      <c r="P43" s="26">
        <f>VLOOKUP($E43,'Retail Rates'!$B$7:$L$34,6,FALSE)</f>
        <v>0</v>
      </c>
      <c r="Q43" s="26">
        <f>VLOOKUP($E43,'Retail Rates'!$B$7:$L$34,9,FALSE)</f>
        <v>550</v>
      </c>
      <c r="R43" s="27">
        <f>VLOOKUP($E43,'Retail Rates'!$B$7:$L$34,7,FALSE)</f>
        <v>4.3020000000000003E-2</v>
      </c>
      <c r="S43" s="27">
        <f>VLOOKUP($E43,'Retail Rates'!$B$7:$L$34,8,FALSE)</f>
        <v>0</v>
      </c>
      <c r="T43" s="309">
        <v>75</v>
      </c>
      <c r="U43" s="26">
        <f>VLOOKUP($E43,'Retail Rates'!$B$7:$L$34,11,FALSE)</f>
        <v>0</v>
      </c>
      <c r="V43" s="27"/>
      <c r="W43" s="309"/>
      <c r="X43" s="28">
        <f t="shared" si="160"/>
        <v>0</v>
      </c>
      <c r="Y43" s="28">
        <f t="shared" ref="Y43:Y47" si="175">J43*P43</f>
        <v>0</v>
      </c>
      <c r="Z43" s="28">
        <f>H43*Q43</f>
        <v>0</v>
      </c>
      <c r="AA43" s="28">
        <f t="shared" si="161"/>
        <v>0</v>
      </c>
      <c r="AB43" s="28">
        <f t="shared" ref="AB43:AB47" si="176">+L43*S43</f>
        <v>0</v>
      </c>
      <c r="AC43" s="28">
        <f t="shared" ref="AC43:AC47" si="177">M43*T43</f>
        <v>0</v>
      </c>
      <c r="AD43" s="28">
        <f t="shared" ref="AD43" si="178">H43*V43</f>
        <v>0</v>
      </c>
      <c r="AE43" s="28"/>
      <c r="AF43" s="28">
        <f t="shared" si="162"/>
        <v>0</v>
      </c>
      <c r="AG43" s="28"/>
      <c r="AH43" s="48">
        <f ca="1">SUMIFS(Adjustments!H$5:H$557,Adjustments!$B$5:$B$557,'Jul17-Jun18 Retail'!$D43,Adjustments!$C$5:$C$557,'Jul17-Jun18 Retail'!$E43)</f>
        <v>0</v>
      </c>
      <c r="AI43" s="48">
        <f ca="1">SUMIFS(Adjustments!I$5:I$557,Adjustments!$B$5:$B$557,'Jul17-Jun18 Retail'!$D43,Adjustments!$C$5:$C$557,'Jul17-Jun18 Retail'!$E43)</f>
        <v>0</v>
      </c>
      <c r="AJ43" s="40">
        <f ca="1">SUMIFS(Adjustments!J$5:J$557,Adjustments!$B$5:$B$557,'Jul17-Jun18 Retail'!$D43,Adjustments!$C$5:$C$557,'Jul17-Jun18 Retail'!$E43)</f>
        <v>0</v>
      </c>
      <c r="AK43" s="40">
        <f ca="1">SUMIFS(Adjustments!K$5:K$557,Adjustments!$B$5:$B$557,'Jul17-Jun18 Retail'!$D43,Adjustments!$C$5:$C$557,'Jul17-Jun18 Retail'!$E43)</f>
        <v>0</v>
      </c>
      <c r="AL43" s="40">
        <f ca="1">SUMIFS(Adjustments!L$5:L$557,Adjustments!$B$5:$B$557,'Jul17-Jun18 Retail'!$D43,Adjustments!$C$5:$C$557,'Jul17-Jun18 Retail'!$E43)</f>
        <v>0</v>
      </c>
      <c r="AM43" s="40">
        <f ca="1">SUMIFS(Adjustments!M$5:M$557,Adjustments!$B$5:$B$557,'Jul17-Jun18 Retail'!$D43,Adjustments!$C$5:$C$557,'Jul17-Jun18 Retail'!$E43)</f>
        <v>0</v>
      </c>
      <c r="AN43" s="40">
        <f ca="1">SUMIFS(Adjustments!N$5:N$557,Adjustments!$B$5:$B$557,'Jul17-Jun18 Retail'!$D43,Adjustments!$C$5:$C$557,'Jul17-Jun18 Retail'!$E43)</f>
        <v>0</v>
      </c>
      <c r="AO43" s="40">
        <f ca="1">SUMIFS(Adjustments!O$5:O$557,Adjustments!$B$5:$B$557,'Jul17-Jun18 Retail'!$D43,Adjustments!$C$5:$C$557,'Jul17-Jun18 Retail'!$E43)</f>
        <v>0</v>
      </c>
      <c r="AP43" s="40">
        <f ca="1">SUMIFS(Adjustments!P$5:P$557,Adjustments!$B$5:$B$557,'Jul17-Jun18 Retail'!$D43,Adjustments!$C$5:$C$557,'Jul17-Jun18 Retail'!$E43)</f>
        <v>0</v>
      </c>
      <c r="AQ43" s="28">
        <f t="shared" ca="1" si="163"/>
        <v>0</v>
      </c>
      <c r="AR43" s="28">
        <f t="shared" ref="AR43:AR47" ca="1" si="179">+Y43+AK43</f>
        <v>0</v>
      </c>
      <c r="AS43" s="28">
        <f t="shared" ca="1" si="164"/>
        <v>0</v>
      </c>
      <c r="AT43" s="28">
        <f t="shared" ca="1" si="165"/>
        <v>0</v>
      </c>
      <c r="AU43" s="28">
        <f t="shared" ref="AU43:AU47" si="180">Z43</f>
        <v>0</v>
      </c>
      <c r="AV43" s="28">
        <f t="shared" ref="AV43:AV47" si="181">AC43</f>
        <v>0</v>
      </c>
      <c r="AW43" s="35">
        <f t="shared" ref="AW43:AW47" si="182">BG43</f>
        <v>0</v>
      </c>
      <c r="AX43" s="35">
        <f t="shared" ref="AX43:AX47" si="183">BF43</f>
        <v>0</v>
      </c>
      <c r="AY43" s="35">
        <f t="shared" ref="AY43:AY47" si="184">BH43</f>
        <v>0</v>
      </c>
      <c r="AZ43" s="35">
        <f t="shared" si="166"/>
        <v>0</v>
      </c>
      <c r="BA43" s="28">
        <f t="shared" ca="1" si="167"/>
        <v>0</v>
      </c>
      <c r="BB43" s="28"/>
      <c r="BC43" s="35">
        <f t="shared" ca="1" si="168"/>
        <v>0</v>
      </c>
      <c r="BD43" s="35">
        <f t="shared" ref="BD43:BD47" si="185">SUM(BF43:BN43)</f>
        <v>0</v>
      </c>
      <c r="BE43" s="36">
        <f t="shared" si="169"/>
        <v>0</v>
      </c>
      <c r="BF43" s="35">
        <f>SUMIFS('Fin Forecast'!$P$3:$P$600,'Fin Forecast'!$B$3:$B$600,'Jul17-Jun18 Transport'!$E43,'Fin Forecast'!$C$3:$C$600,'Jul17-Jun18 Transport'!$BF$5)*1000</f>
        <v>0</v>
      </c>
      <c r="BG43" s="35">
        <f>SUMIFS('Fin Forecast'!$P$3:$P$600,'Fin Forecast'!$B$3:$B$600,'Jul17-Jun18 Transport'!$E43,'Fin Forecast'!$C$3:$C$600,'Jul17-Jun18 Transport'!$BG$5)*1000</f>
        <v>0</v>
      </c>
      <c r="BH43" s="35"/>
      <c r="BI43" s="35">
        <f>SUMIFS('Fin Forecast'!$P$3:$P$600,'Fin Forecast'!$B$3:$B$600,'Jul17-Jun18 Transport'!$E43,'Fin Forecast'!$C$3:$C$600,'Jul17-Jun18 Transport'!$BI$5)*1000</f>
        <v>0</v>
      </c>
      <c r="BJ43" s="35">
        <f>SUMIFS('Fin Forecast'!$P$3:$P$600,'Fin Forecast'!$B$3:$B$600,'Jul17-Jun18 Transport'!$E43,'Fin Forecast'!$C$3:$C$600,'Jul17-Jun18 Transport'!$BJ$5)*1000</f>
        <v>0</v>
      </c>
      <c r="BK43" s="35">
        <f>SUMIFS('Fin Forecast'!$P$3:$P$600,'Fin Forecast'!$B$3:$B$600,'Jul17-Jun18 Transport'!$E43,'Fin Forecast'!$C$3:$C$600,'Jul17-Jun18 Transport'!$BK$5)*1000</f>
        <v>0</v>
      </c>
      <c r="BL43" s="35">
        <f>SUMIFS('Fin Forecast'!$P$3:$P$600,'Fin Forecast'!$B$3:$B$600,'Jul17-Jun18 Transport'!$E43,'Fin Forecast'!$C$3:$C$600,'Jul17-Jun18 Transport'!$BL$5)*1000</f>
        <v>0</v>
      </c>
      <c r="BM43" s="35">
        <f>SUMIFS('Fin Forecast'!$P$3:$P$600,'Fin Forecast'!$B$3:$B$600,'Jul17-Jun18 Transport'!$E43,'Fin Forecast'!$C$3:$C$600,'Jul17-Jun18 Transport'!$BM$5)*1000</f>
        <v>0</v>
      </c>
      <c r="BN43" s="35">
        <f>SUMIFS('Fin Forecast'!$P$3:$P$600,'Fin Forecast'!$B$3:$B$600,'Jul17-Jun18 Transport'!$E43,'Fin Forecast'!$C$3:$C$600,'Jul17-Jun18 Transport'!$BN$5)*1000</f>
        <v>0</v>
      </c>
      <c r="BP43" s="44">
        <f t="shared" ca="1" si="170"/>
        <v>0</v>
      </c>
      <c r="BR43" s="49">
        <f t="shared" ca="1" si="171"/>
        <v>0</v>
      </c>
      <c r="BS43" s="49">
        <f t="shared" ca="1" si="172"/>
        <v>0</v>
      </c>
      <c r="BT43" s="49">
        <f t="shared" si="173"/>
        <v>0</v>
      </c>
    </row>
    <row r="44" spans="1:72" ht="15" x14ac:dyDescent="0.25">
      <c r="B44" s="13" t="s">
        <v>444</v>
      </c>
      <c r="C44" s="6">
        <f t="shared" ref="C44:C47" si="186">C43+1</f>
        <v>33</v>
      </c>
      <c r="D44" s="361">
        <f t="shared" ref="D44:D47" si="187">$D$42</f>
        <v>43070</v>
      </c>
      <c r="E44" s="361" t="s">
        <v>31</v>
      </c>
      <c r="F44" s="6" t="str">
        <f t="shared" si="174"/>
        <v>882</v>
      </c>
      <c r="G44" s="6" t="str">
        <f>VLOOKUP(E44,'Retail Rates'!$B$7:$D$34,3,FALSE)</f>
        <v>IGS-TS-2</v>
      </c>
      <c r="H44" s="25"/>
      <c r="I44" s="25"/>
      <c r="J44" s="25">
        <f>SUMIFS('Forcasted Customer Cts'!$U$5:$U$36,'Forcasted Customer Cts'!$D$5:$D$36,$E44,'Forcasted Customer Cts'!$C$5:$C$36,$B44)</f>
        <v>5</v>
      </c>
      <c r="K44" s="25">
        <f>SUMIF('Forecasted Calendar Month Usage'!$D$5:$D$41,'Jul17-Jun18 Transport'!$E44,'Forecasted Calendar Month Usage'!$AC$5:$AC$41)*10</f>
        <v>523928.93146041315</v>
      </c>
      <c r="L44" s="25"/>
      <c r="M44" s="25">
        <v>2</v>
      </c>
      <c r="N44" s="25"/>
      <c r="O44" s="26">
        <f>VLOOKUP($E44,'Retail Rates'!$B$7:$L$34,5,FALSE)</f>
        <v>40</v>
      </c>
      <c r="P44" s="26">
        <f>VLOOKUP($E44,'Retail Rates'!$B$7:$L$34,6,FALSE)</f>
        <v>180</v>
      </c>
      <c r="Q44" s="26">
        <f>VLOOKUP($E44,'Retail Rates'!$B$7:$L$34,9,FALSE)</f>
        <v>550</v>
      </c>
      <c r="R44" s="27">
        <f>VLOOKUP($E44,'Retail Rates'!$B$7:$L$34,7,FALSE)</f>
        <v>0.22778999999999999</v>
      </c>
      <c r="S44" s="27">
        <f>VLOOKUP($E44,'Retail Rates'!$B$7:$L$34,8,FALSE)</f>
        <v>0.17779</v>
      </c>
      <c r="T44" s="309">
        <v>75</v>
      </c>
      <c r="U44" s="26">
        <f>VLOOKUP($E44,'Retail Rates'!$B$7:$L$34,11,FALSE)</f>
        <v>0</v>
      </c>
      <c r="V44" s="309"/>
      <c r="W44" s="309"/>
      <c r="X44" s="28">
        <f>(+H44*O44)+(I44*O44)</f>
        <v>0</v>
      </c>
      <c r="Y44" s="28">
        <f t="shared" si="175"/>
        <v>900</v>
      </c>
      <c r="Z44" s="28">
        <f>(I44+J44)*Q44</f>
        <v>2750</v>
      </c>
      <c r="AA44" s="28">
        <f t="shared" si="161"/>
        <v>119345.77129736751</v>
      </c>
      <c r="AB44" s="28">
        <f t="shared" si="176"/>
        <v>0</v>
      </c>
      <c r="AC44" s="28">
        <f t="shared" si="177"/>
        <v>150</v>
      </c>
      <c r="AD44" s="28">
        <f>(I44+J44)*V44</f>
        <v>0</v>
      </c>
      <c r="AE44" s="28"/>
      <c r="AF44" s="28">
        <f t="shared" si="162"/>
        <v>0</v>
      </c>
      <c r="AG44" s="28"/>
      <c r="AH44" s="48">
        <f ca="1">SUMIFS(Adjustments!H$5:H$557,Adjustments!$B$5:$B$557,'Jul17-Jun18 Retail'!#REF!,Adjustments!$C$5:$C$557,'Jul17-Jun18 Retail'!#REF!)</f>
        <v>0</v>
      </c>
      <c r="AI44" s="48">
        <f ca="1">SUMIFS(Adjustments!I$5:I$557,Adjustments!$B$5:$B$557,'Jul17-Jun18 Retail'!#REF!,Adjustments!$C$5:$C$557,'Jul17-Jun18 Retail'!#REF!)</f>
        <v>0</v>
      </c>
      <c r="AJ44" s="40">
        <f ca="1">SUMIFS(Adjustments!J$5:J$557,Adjustments!$B$5:$B$557,'Jul17-Jun18 Retail'!#REF!,Adjustments!$C$5:$C$557,'Jul17-Jun18 Retail'!#REF!)</f>
        <v>0</v>
      </c>
      <c r="AK44" s="40">
        <f ca="1">SUMIFS(Adjustments!K$5:K$557,Adjustments!$B$5:$B$557,'Jul17-Jun18 Retail'!#REF!,Adjustments!$C$5:$C$557,'Jul17-Jun18 Retail'!#REF!)</f>
        <v>0</v>
      </c>
      <c r="AL44" s="40">
        <f ca="1">SUMIFS(Adjustments!L$5:L$557,Adjustments!$B$5:$B$557,'Jul17-Jun18 Retail'!#REF!,Adjustments!$C$5:$C$557,'Jul17-Jun18 Retail'!#REF!)</f>
        <v>0</v>
      </c>
      <c r="AM44" s="40">
        <f ca="1">SUMIFS(Adjustments!M$5:M$557,Adjustments!$B$5:$B$557,'Jul17-Jun18 Retail'!#REF!,Adjustments!$C$5:$C$557,'Jul17-Jun18 Retail'!#REF!)</f>
        <v>0</v>
      </c>
      <c r="AN44" s="40">
        <f ca="1">SUMIFS(Adjustments!N$5:N$557,Adjustments!$B$5:$B$557,'Jul17-Jun18 Retail'!#REF!,Adjustments!$C$5:$C$557,'Jul17-Jun18 Retail'!#REF!)</f>
        <v>0</v>
      </c>
      <c r="AO44" s="40">
        <f ca="1">SUMIFS(Adjustments!O$5:O$557,Adjustments!$B$5:$B$557,'Jul17-Jun18 Retail'!#REF!,Adjustments!$C$5:$C$557,'Jul17-Jun18 Retail'!#REF!)</f>
        <v>0</v>
      </c>
      <c r="AP44" s="40">
        <f ca="1">SUMIFS(Adjustments!P$5:P$557,Adjustments!$B$5:$B$557,'Jul17-Jun18 Retail'!#REF!,Adjustments!$C$5:$C$557,'Jul17-Jun18 Retail'!#REF!)</f>
        <v>0</v>
      </c>
      <c r="AQ44" s="28">
        <f t="shared" ca="1" si="163"/>
        <v>0</v>
      </c>
      <c r="AR44" s="28">
        <f t="shared" ca="1" si="179"/>
        <v>900</v>
      </c>
      <c r="AS44" s="28">
        <f t="shared" ca="1" si="164"/>
        <v>119345.77129736751</v>
      </c>
      <c r="AT44" s="28">
        <f t="shared" ca="1" si="165"/>
        <v>0</v>
      </c>
      <c r="AU44" s="28">
        <f t="shared" si="180"/>
        <v>2750</v>
      </c>
      <c r="AV44" s="28">
        <f t="shared" si="181"/>
        <v>150</v>
      </c>
      <c r="AW44" s="35">
        <f t="shared" si="182"/>
        <v>0</v>
      </c>
      <c r="AX44" s="35">
        <f t="shared" si="183"/>
        <v>0</v>
      </c>
      <c r="AY44" s="35">
        <f t="shared" si="184"/>
        <v>0</v>
      </c>
      <c r="AZ44" s="35">
        <f t="shared" si="166"/>
        <v>7508.4344240365699</v>
      </c>
      <c r="BA44" s="28">
        <f t="shared" ca="1" si="167"/>
        <v>0</v>
      </c>
      <c r="BB44" s="28"/>
      <c r="BC44" s="35">
        <f ca="1">ROUND(SUM(AQ44:BB44),2)</f>
        <v>130654.21</v>
      </c>
      <c r="BD44" s="35">
        <f t="shared" si="185"/>
        <v>130654.20572586558</v>
      </c>
      <c r="BE44" s="36">
        <f t="shared" ca="1" si="169"/>
        <v>1</v>
      </c>
      <c r="BF44" s="35">
        <f>SUMIFS('Fin Forecast'!$P$3:$P$600,'Fin Forecast'!$B$3:$B$600,'Jul17-Jun18 Transport'!$E44,'Fin Forecast'!$C$3:$C$600,'Jul17-Jun18 Transport'!$BF$5)*1000</f>
        <v>0</v>
      </c>
      <c r="BG44" s="35">
        <f>SUMIFS('Fin Forecast'!$P$3:$P$600,'Fin Forecast'!$B$3:$B$600,'Jul17-Jun18 Transport'!$E44,'Fin Forecast'!$C$3:$C$600,'Jul17-Jun18 Transport'!$BG$5)*1000</f>
        <v>0</v>
      </c>
      <c r="BH44" s="35"/>
      <c r="BI44" s="35">
        <f>SUMIFS('Fin Forecast'!$P$3:$P$600,'Fin Forecast'!$B$3:$B$600,'Jul17-Jun18 Transport'!$E44,'Fin Forecast'!$C$3:$C$600,'Jul17-Jun18 Transport'!$BI$5)*1000</f>
        <v>150</v>
      </c>
      <c r="BJ44" s="35">
        <f>SUMIFS('Fin Forecast'!$P$3:$P$600,'Fin Forecast'!$B$3:$B$600,'Jul17-Jun18 Transport'!$E44,'Fin Forecast'!$C$3:$C$600,'Jul17-Jun18 Transport'!$BJ$5)*1000</f>
        <v>2750</v>
      </c>
      <c r="BK44" s="35">
        <f>SUMIFS('Fin Forecast'!$P$3:$P$600,'Fin Forecast'!$B$3:$B$600,'Jul17-Jun18 Transport'!$E44,'Fin Forecast'!$C$3:$C$600,'Jul17-Jun18 Transport'!$BK$5)*1000</f>
        <v>900</v>
      </c>
      <c r="BL44" s="35">
        <f>SUMIFS('Fin Forecast'!$P$3:$P$600,'Fin Forecast'!$B$3:$B$600,'Jul17-Jun18 Transport'!$E44,'Fin Forecast'!$C$3:$C$600,'Jul17-Jun18 Transport'!$BL$5)*1000</f>
        <v>119345.77130182901</v>
      </c>
      <c r="BM44" s="35">
        <f>SUMIFS('Fin Forecast'!$P$3:$P$600,'Fin Forecast'!$B$3:$B$600,'Jul17-Jun18 Transport'!$E44,'Fin Forecast'!$C$3:$C$600,'Jul17-Jun18 Transport'!$BM$5)*1000</f>
        <v>0</v>
      </c>
      <c r="BN44" s="35">
        <f>SUMIFS('Fin Forecast'!$P$3:$P$600,'Fin Forecast'!$B$3:$B$600,'Jul17-Jun18 Transport'!$E44,'Fin Forecast'!$C$3:$C$600,'Jul17-Jun18 Transport'!$BN$5)*1000</f>
        <v>7508.4344240365699</v>
      </c>
      <c r="BP44" s="44">
        <f t="shared" ca="1" si="170"/>
        <v>4.2741344223031774E-3</v>
      </c>
      <c r="BR44" s="49">
        <f t="shared" ca="1" si="171"/>
        <v>0</v>
      </c>
      <c r="BS44" s="49">
        <f t="shared" ca="1" si="172"/>
        <v>-4.4615007936954498E-6</v>
      </c>
      <c r="BT44" s="49">
        <f t="shared" si="173"/>
        <v>0</v>
      </c>
    </row>
    <row r="45" spans="1:72" ht="15" x14ac:dyDescent="0.25">
      <c r="A45" s="418" t="s">
        <v>639</v>
      </c>
      <c r="C45" s="6">
        <f t="shared" si="186"/>
        <v>34</v>
      </c>
      <c r="D45" s="361">
        <f t="shared" si="187"/>
        <v>43070</v>
      </c>
      <c r="E45" s="361" t="s">
        <v>87</v>
      </c>
      <c r="F45" s="6" t="str">
        <f t="shared" si="174"/>
        <v>892</v>
      </c>
      <c r="G45" s="6" t="str">
        <f>VLOOKUP(E45,'Retail Rates'!$B$7:$D$34,3,FALSE)</f>
        <v>AAGS-I-TS-2</v>
      </c>
      <c r="H45" s="25">
        <f>SUMIF('Forcasted Customer Cts'!$D$5:$D$36,'Jul17-Jun18 Transport'!$E45,'Forcasted Customer Cts'!$U$5:$U$36)</f>
        <v>2</v>
      </c>
      <c r="I45" s="25"/>
      <c r="J45" s="25"/>
      <c r="K45" s="25">
        <f>SUMIF('Forecasted Calendar Month Usage'!$D$5:$D$41,'Jul17-Jun18 Transport'!$E45,'Forecasted Calendar Month Usage'!$AC$5:$AC$41)*10</f>
        <v>365363.84880028828</v>
      </c>
      <c r="L45" s="25"/>
      <c r="M45" s="25"/>
      <c r="N45" s="25"/>
      <c r="O45" s="26">
        <f>VLOOKUP($E45,'Retail Rates'!$B$7:$L$34,5,FALSE)</f>
        <v>400</v>
      </c>
      <c r="P45" s="26">
        <f>VLOOKUP($E45,'Retail Rates'!$B$7:$L$34,6,FALSE)</f>
        <v>0</v>
      </c>
      <c r="Q45" s="26">
        <f>VLOOKUP($E45,'Retail Rates'!$B$7:$L$34,9,FALSE)</f>
        <v>550</v>
      </c>
      <c r="R45" s="27">
        <f>VLOOKUP($E45,'Retail Rates'!$B$7:$L$34,7,FALSE)</f>
        <v>7.009E-2</v>
      </c>
      <c r="S45" s="27">
        <f>VLOOKUP($E45,'Retail Rates'!$B$7:$L$34,8,FALSE)</f>
        <v>0</v>
      </c>
      <c r="T45" s="309">
        <v>75</v>
      </c>
      <c r="U45" s="26">
        <f>VLOOKUP($E45,'Retail Rates'!$B$7:$L$34,11,FALSE)</f>
        <v>0</v>
      </c>
      <c r="V45" s="309"/>
      <c r="W45" s="309"/>
      <c r="X45" s="28">
        <f t="shared" ref="X45:X47" si="188">(+H45*O45)+(I45*O45)</f>
        <v>800</v>
      </c>
      <c r="Y45" s="28">
        <f t="shared" si="175"/>
        <v>0</v>
      </c>
      <c r="Z45" s="28">
        <f t="shared" ref="Z45:Z47" si="189">H45*Q45</f>
        <v>1100</v>
      </c>
      <c r="AA45" s="28">
        <f t="shared" si="161"/>
        <v>25608.352162412204</v>
      </c>
      <c r="AB45" s="28">
        <f t="shared" si="176"/>
        <v>0</v>
      </c>
      <c r="AC45" s="28">
        <f t="shared" si="177"/>
        <v>0</v>
      </c>
      <c r="AD45" s="28">
        <f t="shared" ref="AD45:AD47" si="190">H45*V45</f>
        <v>0</v>
      </c>
      <c r="AE45" s="28"/>
      <c r="AF45" s="28">
        <f t="shared" si="162"/>
        <v>0</v>
      </c>
      <c r="AG45" s="28"/>
      <c r="AH45" s="48">
        <f ca="1">SUMIFS(Adjustments!H$5:H$557,Adjustments!$B$5:$B$557,'Jul17-Jun18 Retail'!$D44,Adjustments!$C$5:$C$557,'Jul17-Jun18 Retail'!$E44)</f>
        <v>0</v>
      </c>
      <c r="AI45" s="48">
        <f ca="1">SUMIFS(Adjustments!I$5:I$557,Adjustments!$B$5:$B$557,'Jul17-Jun18 Retail'!$D44,Adjustments!$C$5:$C$557,'Jul17-Jun18 Retail'!$E44)</f>
        <v>0</v>
      </c>
      <c r="AJ45" s="40">
        <f ca="1">SUMIFS(Adjustments!J$5:J$557,Adjustments!$B$5:$B$557,'Jul17-Jun18 Retail'!$D44,Adjustments!$C$5:$C$557,'Jul17-Jun18 Retail'!$E44)</f>
        <v>0</v>
      </c>
      <c r="AK45" s="40">
        <f ca="1">SUMIFS(Adjustments!K$5:K$557,Adjustments!$B$5:$B$557,'Jul17-Jun18 Retail'!$D44,Adjustments!$C$5:$C$557,'Jul17-Jun18 Retail'!$E44)</f>
        <v>0</v>
      </c>
      <c r="AL45" s="40">
        <f ca="1">SUMIFS(Adjustments!L$5:L$557,Adjustments!$B$5:$B$557,'Jul17-Jun18 Retail'!$D44,Adjustments!$C$5:$C$557,'Jul17-Jun18 Retail'!$E44)</f>
        <v>0</v>
      </c>
      <c r="AM45" s="40">
        <f ca="1">SUMIFS(Adjustments!M$5:M$557,Adjustments!$B$5:$B$557,'Jul17-Jun18 Retail'!$D44,Adjustments!$C$5:$C$557,'Jul17-Jun18 Retail'!$E44)</f>
        <v>0</v>
      </c>
      <c r="AN45" s="40">
        <f ca="1">SUMIFS(Adjustments!N$5:N$557,Adjustments!$B$5:$B$557,'Jul17-Jun18 Retail'!$D44,Adjustments!$C$5:$C$557,'Jul17-Jun18 Retail'!$E44)</f>
        <v>0</v>
      </c>
      <c r="AO45" s="40">
        <f ca="1">SUMIFS(Adjustments!O$5:O$557,Adjustments!$B$5:$B$557,'Jul17-Jun18 Retail'!$D44,Adjustments!$C$5:$C$557,'Jul17-Jun18 Retail'!$E44)</f>
        <v>0</v>
      </c>
      <c r="AP45" s="40">
        <f ca="1">SUMIFS(Adjustments!P$5:P$557,Adjustments!$B$5:$B$557,'Jul17-Jun18 Retail'!$D44,Adjustments!$C$5:$C$557,'Jul17-Jun18 Retail'!$E44)</f>
        <v>0</v>
      </c>
      <c r="AQ45" s="28">
        <f t="shared" ca="1" si="163"/>
        <v>800</v>
      </c>
      <c r="AR45" s="28">
        <f t="shared" ca="1" si="179"/>
        <v>0</v>
      </c>
      <c r="AS45" s="28">
        <f t="shared" ca="1" si="164"/>
        <v>25608.352162412204</v>
      </c>
      <c r="AT45" s="28">
        <f t="shared" ca="1" si="165"/>
        <v>0</v>
      </c>
      <c r="AU45" s="28">
        <f t="shared" si="180"/>
        <v>1100</v>
      </c>
      <c r="AV45" s="28">
        <f t="shared" si="181"/>
        <v>0</v>
      </c>
      <c r="AW45" s="35">
        <f t="shared" si="182"/>
        <v>0</v>
      </c>
      <c r="AX45" s="35">
        <f t="shared" si="183"/>
        <v>0</v>
      </c>
      <c r="AY45" s="35">
        <f t="shared" si="184"/>
        <v>0</v>
      </c>
      <c r="AZ45" s="35">
        <f t="shared" si="166"/>
        <v>6476.24348649886</v>
      </c>
      <c r="BA45" s="28">
        <f t="shared" ca="1" si="167"/>
        <v>0</v>
      </c>
      <c r="BB45" s="28"/>
      <c r="BC45" s="35">
        <f t="shared" ref="BC45:BC47" ca="1" si="191">ROUND(SUM(AQ45:BB45),2)</f>
        <v>33984.6</v>
      </c>
      <c r="BD45" s="35">
        <f t="shared" si="185"/>
        <v>33984.595648910959</v>
      </c>
      <c r="BE45" s="36">
        <f t="shared" ca="1" si="169"/>
        <v>1</v>
      </c>
      <c r="BF45" s="35">
        <f>SUMIFS('Fin Forecast'!$P$3:$P$600,'Fin Forecast'!$B$3:$B$600,'Jul17-Jun18 Transport'!$E45,'Fin Forecast'!$C$3:$C$600,'Jul17-Jun18 Transport'!$BF$5)*1000</f>
        <v>0</v>
      </c>
      <c r="BG45" s="35">
        <f>SUMIFS('Fin Forecast'!$P$3:$P$600,'Fin Forecast'!$B$3:$B$600,'Jul17-Jun18 Transport'!$E45,'Fin Forecast'!$C$3:$C$600,'Jul17-Jun18 Transport'!$BG$5)*1000</f>
        <v>0</v>
      </c>
      <c r="BH45" s="35"/>
      <c r="BI45" s="35">
        <f>SUMIFS('Fin Forecast'!$P$3:$P$600,'Fin Forecast'!$B$3:$B$600,'Jul17-Jun18 Transport'!$E45,'Fin Forecast'!$C$3:$C$600,'Jul17-Jun18 Transport'!$BI$5)*1000</f>
        <v>0</v>
      </c>
      <c r="BJ45" s="35">
        <f>SUMIFS('Fin Forecast'!$P$3:$P$600,'Fin Forecast'!$B$3:$B$600,'Jul17-Jun18 Transport'!$E45,'Fin Forecast'!$C$3:$C$600,'Jul17-Jun18 Transport'!$BJ$5)*1000</f>
        <v>1100</v>
      </c>
      <c r="BK45" s="35">
        <f>SUMIFS('Fin Forecast'!$P$3:$P$600,'Fin Forecast'!$B$3:$B$600,'Jul17-Jun18 Transport'!$E45,'Fin Forecast'!$C$3:$C$600,'Jul17-Jun18 Transport'!$BK$5)*1000</f>
        <v>800</v>
      </c>
      <c r="BL45" s="35">
        <f>SUMIFS('Fin Forecast'!$P$3:$P$600,'Fin Forecast'!$B$3:$B$600,'Jul17-Jun18 Transport'!$E45,'Fin Forecast'!$C$3:$C$600,'Jul17-Jun18 Transport'!$BL$5)*1000</f>
        <v>25608.352162412099</v>
      </c>
      <c r="BM45" s="35">
        <f>SUMIFS('Fin Forecast'!$P$3:$P$600,'Fin Forecast'!$B$3:$B$600,'Jul17-Jun18 Transport'!$E45,'Fin Forecast'!$C$3:$C$600,'Jul17-Jun18 Transport'!$BM$5)*1000</f>
        <v>0</v>
      </c>
      <c r="BN45" s="35">
        <f>SUMIFS('Fin Forecast'!$P$3:$P$600,'Fin Forecast'!$B$3:$B$600,'Jul17-Jun18 Transport'!$E45,'Fin Forecast'!$C$3:$C$600,'Jul17-Jun18 Transport'!$BN$5)*1000</f>
        <v>6476.24348649886</v>
      </c>
      <c r="BP45" s="44">
        <f t="shared" ca="1" si="170"/>
        <v>4.3510890391189605E-3</v>
      </c>
      <c r="BR45" s="49">
        <f t="shared" ca="1" si="171"/>
        <v>0</v>
      </c>
      <c r="BS45" s="49">
        <f t="shared" ca="1" si="172"/>
        <v>1.0550138540565968E-10</v>
      </c>
      <c r="BT45" s="49">
        <f t="shared" si="173"/>
        <v>0</v>
      </c>
    </row>
    <row r="46" spans="1:72" ht="15" x14ac:dyDescent="0.25">
      <c r="C46" s="6">
        <f t="shared" si="186"/>
        <v>35</v>
      </c>
      <c r="D46" s="361">
        <f t="shared" si="187"/>
        <v>43070</v>
      </c>
      <c r="E46" s="361" t="s">
        <v>51</v>
      </c>
      <c r="F46" s="6" t="str">
        <f t="shared" si="174"/>
        <v>997</v>
      </c>
      <c r="G46" s="6" t="str">
        <f>VLOOKUP(E46,'Retail Rates'!$B$7:$D$34,3,FALSE)</f>
        <v>SPC-P</v>
      </c>
      <c r="H46" s="25">
        <f>SUMIF('Forcasted Customer Cts'!$D$5:$D$36,'Jul17-Jun18 Transport'!$E46,'Forcasted Customer Cts'!$U$5:$U$36)</f>
        <v>0</v>
      </c>
      <c r="I46" s="25"/>
      <c r="J46" s="25"/>
      <c r="K46" s="25">
        <f>SUMIF('Forecasted Calendar Month Usage'!$D$5:$D$41,'Jul17-Jun18 Transport'!$E46,'Forecasted Calendar Month Usage'!$AC$5:$AC$41)</f>
        <v>0</v>
      </c>
      <c r="L46" s="25"/>
      <c r="M46" s="25"/>
      <c r="N46" s="25"/>
      <c r="O46" s="26">
        <f>VLOOKUP($E46,'Retail Rates'!$B$7:$L$34,5,FALSE)</f>
        <v>800</v>
      </c>
      <c r="P46" s="26">
        <f>VLOOKUP($E46,'Retail Rates'!$B$7:$L$34,6,FALSE)</f>
        <v>0</v>
      </c>
      <c r="Q46" s="26">
        <f>VLOOKUP($E46,'Retail Rates'!$B$7:$L$34,9,FALSE)</f>
        <v>0</v>
      </c>
      <c r="R46" s="27">
        <f>VLOOKUP($E46,'Retail Rates'!$B$7:$L$34,7,FALSE)</f>
        <v>4.9699999999999996E-3</v>
      </c>
      <c r="S46" s="27">
        <f>VLOOKUP($E46,'Retail Rates'!$B$7:$L$34,8,FALSE)</f>
        <v>0</v>
      </c>
      <c r="T46" s="309">
        <v>0</v>
      </c>
      <c r="U46" s="403">
        <f>VLOOKUP($E46,'Retail Rates'!$B$7:$L$34,11,FALSE)</f>
        <v>0.24801000000000001</v>
      </c>
      <c r="V46" s="27"/>
      <c r="W46" s="309"/>
      <c r="X46" s="28">
        <f t="shared" si="188"/>
        <v>0</v>
      </c>
      <c r="Y46" s="28">
        <f t="shared" si="175"/>
        <v>0</v>
      </c>
      <c r="Z46" s="28">
        <f t="shared" si="189"/>
        <v>0</v>
      </c>
      <c r="AA46" s="28">
        <f t="shared" si="161"/>
        <v>0</v>
      </c>
      <c r="AB46" s="28">
        <f t="shared" si="176"/>
        <v>0</v>
      </c>
      <c r="AC46" s="28">
        <f t="shared" si="177"/>
        <v>0</v>
      </c>
      <c r="AD46" s="28">
        <f t="shared" si="190"/>
        <v>0</v>
      </c>
      <c r="AE46" s="28"/>
      <c r="AF46" s="28">
        <f t="shared" si="162"/>
        <v>0</v>
      </c>
      <c r="AG46" s="28"/>
      <c r="AH46" s="48">
        <f ca="1">SUMIFS(Adjustments!H$5:H$557,Adjustments!$B$5:$B$557,'Jul17-Jun18 Retail'!#REF!,Adjustments!$C$5:$C$557,'Jul17-Jun18 Retail'!#REF!)</f>
        <v>0</v>
      </c>
      <c r="AI46" s="48">
        <f ca="1">SUMIFS(Adjustments!I$5:I$557,Adjustments!$B$5:$B$557,'Jul17-Jun18 Retail'!#REF!,Adjustments!$C$5:$C$557,'Jul17-Jun18 Retail'!#REF!)</f>
        <v>0</v>
      </c>
      <c r="AJ46" s="40">
        <f ca="1">SUMIFS(Adjustments!J$5:J$557,Adjustments!$B$5:$B$557,'Jul17-Jun18 Retail'!#REF!,Adjustments!$C$5:$C$557,'Jul17-Jun18 Retail'!#REF!)</f>
        <v>0</v>
      </c>
      <c r="AK46" s="40">
        <f ca="1">SUMIFS(Adjustments!K$5:K$557,Adjustments!$B$5:$B$557,'Jul17-Jun18 Retail'!#REF!,Adjustments!$C$5:$C$557,'Jul17-Jun18 Retail'!#REF!)</f>
        <v>0</v>
      </c>
      <c r="AL46" s="40">
        <f ca="1">SUMIFS(Adjustments!L$5:L$557,Adjustments!$B$5:$B$557,'Jul17-Jun18 Retail'!#REF!,Adjustments!$C$5:$C$557,'Jul17-Jun18 Retail'!#REF!)</f>
        <v>0</v>
      </c>
      <c r="AM46" s="40">
        <f ca="1">SUMIFS(Adjustments!M$5:M$557,Adjustments!$B$5:$B$557,'Jul17-Jun18 Retail'!#REF!,Adjustments!$C$5:$C$557,'Jul17-Jun18 Retail'!#REF!)</f>
        <v>0</v>
      </c>
      <c r="AN46" s="40">
        <f ca="1">SUMIFS(Adjustments!N$5:N$557,Adjustments!$B$5:$B$557,'Jul17-Jun18 Retail'!#REF!,Adjustments!$C$5:$C$557,'Jul17-Jun18 Retail'!#REF!)</f>
        <v>0</v>
      </c>
      <c r="AO46" s="40">
        <f ca="1">SUMIFS(Adjustments!O$5:O$557,Adjustments!$B$5:$B$557,'Jul17-Jun18 Retail'!#REF!,Adjustments!$C$5:$C$557,'Jul17-Jun18 Retail'!#REF!)</f>
        <v>0</v>
      </c>
      <c r="AP46" s="40">
        <f ca="1">SUMIFS(Adjustments!P$5:P$557,Adjustments!$B$5:$B$557,'Jul17-Jun18 Retail'!#REF!,Adjustments!$C$5:$C$557,'Jul17-Jun18 Retail'!#REF!)</f>
        <v>0</v>
      </c>
      <c r="AQ46" s="28">
        <f t="shared" ca="1" si="163"/>
        <v>0</v>
      </c>
      <c r="AR46" s="28">
        <f t="shared" ca="1" si="179"/>
        <v>0</v>
      </c>
      <c r="AS46" s="28">
        <f t="shared" ca="1" si="164"/>
        <v>0</v>
      </c>
      <c r="AT46" s="28">
        <f t="shared" ca="1" si="165"/>
        <v>0</v>
      </c>
      <c r="AU46" s="28">
        <f t="shared" si="180"/>
        <v>0</v>
      </c>
      <c r="AV46" s="28">
        <f t="shared" si="181"/>
        <v>0</v>
      </c>
      <c r="AW46" s="35">
        <f t="shared" si="182"/>
        <v>0</v>
      </c>
      <c r="AX46" s="35">
        <f t="shared" si="183"/>
        <v>0</v>
      </c>
      <c r="AY46" s="35">
        <f t="shared" si="184"/>
        <v>0</v>
      </c>
      <c r="AZ46" s="35">
        <f t="shared" si="166"/>
        <v>0</v>
      </c>
      <c r="BA46" s="28">
        <f t="shared" ca="1" si="167"/>
        <v>0</v>
      </c>
      <c r="BB46" s="28"/>
      <c r="BC46" s="35">
        <f t="shared" ca="1" si="191"/>
        <v>0</v>
      </c>
      <c r="BD46" s="35">
        <f t="shared" si="185"/>
        <v>0</v>
      </c>
      <c r="BE46" s="36">
        <f t="shared" si="169"/>
        <v>0</v>
      </c>
      <c r="BF46" s="35">
        <f>SUMIFS('Fin Forecast'!$P$3:$P$600,'Fin Forecast'!$B$3:$B$600,'Jul17-Jun18 Transport'!$E46,'Fin Forecast'!$C$3:$C$600,'Jul17-Jun18 Transport'!$BF$5)*1000</f>
        <v>0</v>
      </c>
      <c r="BG46" s="35">
        <f>SUMIFS('Fin Forecast'!$P$3:$P$600,'Fin Forecast'!$B$3:$B$600,'Jul17-Jun18 Transport'!$E46,'Fin Forecast'!$C$3:$C$600,'Jul17-Jun18 Transport'!$BG$5)*1000</f>
        <v>0</v>
      </c>
      <c r="BH46" s="35"/>
      <c r="BI46" s="35">
        <f>SUMIFS('Fin Forecast'!$P$3:$P$600,'Fin Forecast'!$B$3:$B$600,'Jul17-Jun18 Transport'!$E46,'Fin Forecast'!$C$3:$C$600,'Jul17-Jun18 Transport'!$BI$5)*1000</f>
        <v>0</v>
      </c>
      <c r="BJ46" s="35">
        <f>SUMIFS('Fin Forecast'!$P$3:$P$600,'Fin Forecast'!$B$3:$B$600,'Jul17-Jun18 Transport'!$E46,'Fin Forecast'!$C$3:$C$600,'Jul17-Jun18 Transport'!$BJ$5)*1000</f>
        <v>0</v>
      </c>
      <c r="BK46" s="35">
        <f>SUMIFS('Fin Forecast'!$P$3:$P$600,'Fin Forecast'!$B$3:$B$600,'Jul17-Jun18 Transport'!$E46,'Fin Forecast'!$C$3:$C$600,'Jul17-Jun18 Transport'!$BK$5)*1000</f>
        <v>0</v>
      </c>
      <c r="BL46" s="35">
        <f>SUMIFS('Fin Forecast'!$P$3:$P$600,'Fin Forecast'!$B$3:$B$600,'Jul17-Jun18 Transport'!$E46,'Fin Forecast'!$C$3:$C$600,'Jul17-Jun18 Transport'!$BL$5)*1000</f>
        <v>0</v>
      </c>
      <c r="BM46" s="35">
        <f>SUMIFS('Fin Forecast'!$P$3:$P$600,'Fin Forecast'!$B$3:$B$600,'Jul17-Jun18 Transport'!$E46,'Fin Forecast'!$C$3:$C$600,'Jul17-Jun18 Transport'!$BM$5)*1000</f>
        <v>0</v>
      </c>
      <c r="BN46" s="35">
        <f>SUMIFS('Fin Forecast'!$P$3:$P$600,'Fin Forecast'!$B$3:$B$600,'Jul17-Jun18 Transport'!$E46,'Fin Forecast'!$C$3:$C$600,'Jul17-Jun18 Transport'!$BN$5)*1000</f>
        <v>0</v>
      </c>
      <c r="BP46" s="44">
        <f t="shared" ca="1" si="170"/>
        <v>0</v>
      </c>
      <c r="BR46" s="49">
        <f t="shared" ca="1" si="171"/>
        <v>0</v>
      </c>
      <c r="BS46" s="49">
        <f t="shared" ca="1" si="172"/>
        <v>0</v>
      </c>
      <c r="BT46" s="49">
        <f t="shared" si="173"/>
        <v>0</v>
      </c>
    </row>
    <row r="47" spans="1:72" ht="15" x14ac:dyDescent="0.25">
      <c r="C47" s="6">
        <f t="shared" si="186"/>
        <v>36</v>
      </c>
      <c r="D47" s="361">
        <f t="shared" si="187"/>
        <v>43070</v>
      </c>
      <c r="E47" s="361" t="s">
        <v>34</v>
      </c>
      <c r="F47" s="6" t="str">
        <f t="shared" si="174"/>
        <v>996</v>
      </c>
      <c r="G47" s="6" t="s">
        <v>754</v>
      </c>
      <c r="H47" s="25">
        <f>SUMIF('Forcasted Customer Cts'!$D$5:$D$36,'Jul17-Jun18 Transport'!$E47,'Forcasted Customer Cts'!$U$5:$U$36)</f>
        <v>1</v>
      </c>
      <c r="I47" s="25"/>
      <c r="J47" s="25"/>
      <c r="K47" s="25">
        <f>SUMIF('Forecasted Calendar Month Usage'!$D$5:$D$41,'Jul17-Jun18 Transport'!$E47,'Forecasted Calendar Month Usage'!$AC$5:$AC$41)*10</f>
        <v>122365</v>
      </c>
      <c r="L47" s="25"/>
      <c r="M47" s="25"/>
      <c r="N47" s="25">
        <f>16560*10</f>
        <v>165600</v>
      </c>
      <c r="O47" s="26">
        <f>VLOOKUP($E47,'Retail Rates'!$B$7:$L$34,5,FALSE)</f>
        <v>180</v>
      </c>
      <c r="P47" s="26">
        <f>VLOOKUP($E47,'Retail Rates'!$B$7:$L$34,6,FALSE)</f>
        <v>0</v>
      </c>
      <c r="Q47" s="26">
        <f>VLOOKUP($E47,'Retail Rates'!$B$7:$L$34,9,FALSE)</f>
        <v>0</v>
      </c>
      <c r="R47" s="27">
        <f>VLOOKUP($E47,'Retail Rates'!$B$7:$L$34,7,FALSE)</f>
        <v>3.329E-2</v>
      </c>
      <c r="S47" s="27">
        <f>VLOOKUP($E47,'Retail Rates'!$B$7:$L$34,8,FALSE)</f>
        <v>0</v>
      </c>
      <c r="T47" s="309">
        <v>0</v>
      </c>
      <c r="U47" s="403">
        <f>VLOOKUP($E47,'Retail Rates'!$B$7:$L$34,11,FALSE)</f>
        <v>1.12629</v>
      </c>
      <c r="V47" s="27"/>
      <c r="W47" s="309"/>
      <c r="X47" s="28">
        <f t="shared" si="188"/>
        <v>180</v>
      </c>
      <c r="Y47" s="28">
        <f t="shared" si="175"/>
        <v>0</v>
      </c>
      <c r="Z47" s="28">
        <f t="shared" si="189"/>
        <v>0</v>
      </c>
      <c r="AA47" s="28">
        <f t="shared" si="161"/>
        <v>4073.5308500000001</v>
      </c>
      <c r="AB47" s="28">
        <f t="shared" si="176"/>
        <v>0</v>
      </c>
      <c r="AC47" s="28">
        <f t="shared" si="177"/>
        <v>0</v>
      </c>
      <c r="AD47" s="28">
        <f t="shared" si="190"/>
        <v>0</v>
      </c>
      <c r="AE47" s="28"/>
      <c r="AF47" s="28">
        <f>N47*U47</f>
        <v>186513.62400000001</v>
      </c>
      <c r="AG47" s="28"/>
      <c r="AH47" s="48">
        <f ca="1">SUMIFS(Adjustments!H$5:H$557,Adjustments!$B$5:$B$557,'Jul17-Jun18 Retail'!$D45,Adjustments!$C$5:$C$557,'Jul17-Jun18 Retail'!$E45)</f>
        <v>0</v>
      </c>
      <c r="AI47" s="48">
        <f ca="1">SUMIFS(Adjustments!I$5:I$557,Adjustments!$B$5:$B$557,'Jul17-Jun18 Retail'!$D45,Adjustments!$C$5:$C$557,'Jul17-Jun18 Retail'!$E45)</f>
        <v>0</v>
      </c>
      <c r="AJ47" s="40">
        <f ca="1">SUMIFS(Adjustments!J$5:J$557,Adjustments!$B$5:$B$557,'Jul17-Jun18 Retail'!$D45,Adjustments!$C$5:$C$557,'Jul17-Jun18 Retail'!$E45)</f>
        <v>0</v>
      </c>
      <c r="AK47" s="40">
        <f ca="1">SUMIFS(Adjustments!K$5:K$557,Adjustments!$B$5:$B$557,'Jul17-Jun18 Retail'!$D45,Adjustments!$C$5:$C$557,'Jul17-Jun18 Retail'!$E45)</f>
        <v>0</v>
      </c>
      <c r="AL47" s="40">
        <f ca="1">SUMIFS(Adjustments!L$5:L$557,Adjustments!$B$5:$B$557,'Jul17-Jun18 Retail'!$D45,Adjustments!$C$5:$C$557,'Jul17-Jun18 Retail'!$E45)</f>
        <v>0</v>
      </c>
      <c r="AM47" s="40">
        <f ca="1">SUMIFS(Adjustments!M$5:M$557,Adjustments!$B$5:$B$557,'Jul17-Jun18 Retail'!$D45,Adjustments!$C$5:$C$557,'Jul17-Jun18 Retail'!$E45)</f>
        <v>0</v>
      </c>
      <c r="AN47" s="40">
        <f ca="1">SUMIFS(Adjustments!N$5:N$557,Adjustments!$B$5:$B$557,'Jul17-Jun18 Retail'!$D45,Adjustments!$C$5:$C$557,'Jul17-Jun18 Retail'!$E45)</f>
        <v>0</v>
      </c>
      <c r="AO47" s="40">
        <f ca="1">SUMIFS(Adjustments!O$5:O$557,Adjustments!$B$5:$B$557,'Jul17-Jun18 Retail'!$D45,Adjustments!$C$5:$C$557,'Jul17-Jun18 Retail'!$E45)</f>
        <v>0</v>
      </c>
      <c r="AP47" s="40">
        <f ca="1">SUMIFS(Adjustments!P$5:P$557,Adjustments!$B$5:$B$557,'Jul17-Jun18 Retail'!$D45,Adjustments!$C$5:$C$557,'Jul17-Jun18 Retail'!$E45)</f>
        <v>0</v>
      </c>
      <c r="AQ47" s="28">
        <f t="shared" ca="1" si="163"/>
        <v>180</v>
      </c>
      <c r="AR47" s="28">
        <f t="shared" ca="1" si="179"/>
        <v>0</v>
      </c>
      <c r="AS47" s="28">
        <f t="shared" ca="1" si="164"/>
        <v>4073.5308500000001</v>
      </c>
      <c r="AT47" s="28">
        <f t="shared" ca="1" si="165"/>
        <v>0</v>
      </c>
      <c r="AU47" s="28">
        <f t="shared" si="180"/>
        <v>0</v>
      </c>
      <c r="AV47" s="28">
        <f t="shared" si="181"/>
        <v>0</v>
      </c>
      <c r="AW47" s="35">
        <f t="shared" si="182"/>
        <v>48391.954568253699</v>
      </c>
      <c r="AX47" s="35">
        <f t="shared" si="183"/>
        <v>0</v>
      </c>
      <c r="AY47" s="35">
        <f t="shared" si="184"/>
        <v>0</v>
      </c>
      <c r="AZ47" s="35">
        <f t="shared" si="166"/>
        <v>0</v>
      </c>
      <c r="BA47" s="28">
        <f t="shared" ca="1" si="167"/>
        <v>186513.62400000001</v>
      </c>
      <c r="BB47" s="28"/>
      <c r="BC47" s="35">
        <f t="shared" ca="1" si="191"/>
        <v>239159.11</v>
      </c>
      <c r="BD47" s="35">
        <f t="shared" si="185"/>
        <v>239159.10941825368</v>
      </c>
      <c r="BE47" s="36">
        <f t="shared" ca="1" si="169"/>
        <v>1</v>
      </c>
      <c r="BF47" s="35">
        <f>SUMIFS('Fin Forecast'!$P$3:$P$600,'Fin Forecast'!$B$3:$B$600,'Jul17-Jun18 Transport'!$E47,'Fin Forecast'!$C$3:$C$600,'Jul17-Jun18 Transport'!$BF$5)*1000</f>
        <v>0</v>
      </c>
      <c r="BG47" s="35">
        <f>SUMIFS('Fin Forecast'!$P$3:$P$600,'Fin Forecast'!$B$3:$B$600,'Jul17-Jun18 Transport'!$E47,'Fin Forecast'!$C$3:$C$600,'Jul17-Jun18 Transport'!$BG$5)*1000</f>
        <v>48391.954568253699</v>
      </c>
      <c r="BH47" s="35"/>
      <c r="BI47" s="35">
        <f>SUMIFS('Fin Forecast'!$P$3:$P$600,'Fin Forecast'!$B$3:$B$600,'Jul17-Jun18 Transport'!$E47,'Fin Forecast'!$C$3:$C$600,'Jul17-Jun18 Transport'!$BI$5)*1000</f>
        <v>0</v>
      </c>
      <c r="BJ47" s="35">
        <f>SUMIFS('Fin Forecast'!$P$3:$P$600,'Fin Forecast'!$B$3:$B$600,'Jul17-Jun18 Transport'!$E47,'Fin Forecast'!$C$3:$C$600,'Jul17-Jun18 Transport'!$BJ$5)*1000</f>
        <v>0</v>
      </c>
      <c r="BK47" s="35">
        <f>SUMIFS('Fin Forecast'!$P$3:$P$600,'Fin Forecast'!$B$3:$B$600,'Jul17-Jun18 Transport'!$E47,'Fin Forecast'!$C$3:$C$600,'Jul17-Jun18 Transport'!$BK$5)*1000</f>
        <v>180</v>
      </c>
      <c r="BL47" s="35">
        <f>SUMIFS('Fin Forecast'!$P$3:$P$600,'Fin Forecast'!$B$3:$B$600,'Jul17-Jun18 Transport'!$E47,'Fin Forecast'!$C$3:$C$600,'Jul17-Jun18 Transport'!$BL$5)*1000</f>
        <v>4073.5308500000001</v>
      </c>
      <c r="BM47" s="35">
        <f>SUMIFS('Fin Forecast'!$P$3:$P$600,'Fin Forecast'!$B$3:$B$600,'Jul17-Jun18 Transport'!$E47,'Fin Forecast'!$C$3:$C$600,'Jul17-Jun18 Transport'!$BM$5)*1000</f>
        <v>186513.62399999998</v>
      </c>
      <c r="BN47" s="35">
        <f>SUMIFS('Fin Forecast'!$P$3:$P$600,'Fin Forecast'!$B$3:$B$600,'Jul17-Jun18 Transport'!$E47,'Fin Forecast'!$C$3:$C$600,'Jul17-Jun18 Transport'!$BN$5)*1000</f>
        <v>0</v>
      </c>
      <c r="BP47" s="44">
        <f t="shared" ca="1" si="170"/>
        <v>5.817463097628206E-4</v>
      </c>
      <c r="BR47" s="49">
        <f t="shared" ca="1" si="171"/>
        <v>0</v>
      </c>
      <c r="BS47" s="49">
        <f t="shared" ca="1" si="172"/>
        <v>0</v>
      </c>
      <c r="BT47" s="49">
        <f t="shared" si="173"/>
        <v>0</v>
      </c>
    </row>
    <row r="48" spans="1:72" s="323" customFormat="1" ht="15" x14ac:dyDescent="0.25">
      <c r="C48" s="324"/>
      <c r="D48" s="362"/>
      <c r="E48" s="362"/>
      <c r="F48" s="324"/>
      <c r="G48" s="324"/>
      <c r="H48" s="325"/>
      <c r="I48" s="325"/>
      <c r="J48" s="325"/>
      <c r="K48" s="325"/>
      <c r="L48" s="325"/>
      <c r="M48" s="325"/>
      <c r="N48" s="325"/>
      <c r="O48" s="326"/>
      <c r="P48" s="326"/>
      <c r="Q48" s="327"/>
      <c r="R48" s="327"/>
      <c r="S48" s="327"/>
      <c r="T48" s="326"/>
      <c r="U48" s="327"/>
      <c r="V48" s="326"/>
      <c r="W48" s="328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30"/>
      <c r="AI48" s="330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31"/>
      <c r="BF48" s="329"/>
      <c r="BG48" s="329"/>
      <c r="BH48" s="329"/>
      <c r="BI48" s="329"/>
      <c r="BJ48" s="329"/>
      <c r="BK48" s="329"/>
      <c r="BL48" s="329"/>
      <c r="BM48" s="329"/>
      <c r="BN48" s="329"/>
      <c r="BP48" s="329"/>
      <c r="BR48" s="329"/>
      <c r="BS48" s="329"/>
      <c r="BT48" s="329"/>
    </row>
    <row r="49" spans="1:72" ht="15" x14ac:dyDescent="0.25">
      <c r="C49" s="6">
        <f>C47+1</f>
        <v>37</v>
      </c>
      <c r="D49" s="361">
        <f>EDATE(D42,1)</f>
        <v>43101</v>
      </c>
      <c r="E49" s="361" t="s">
        <v>41</v>
      </c>
      <c r="F49" s="6" t="str">
        <f>MID(E49,6,3)</f>
        <v>895</v>
      </c>
      <c r="G49" s="6" t="str">
        <f>VLOOKUP(E49,'Retail Rates'!$B$7:$D$34,3,FALSE)</f>
        <v>FT-C</v>
      </c>
      <c r="H49" s="25">
        <f>SUMIF('Forcasted Customer Cts'!$D$5:$D$36,'Jul17-Jun18 Transport'!$E49,'Forcasted Customer Cts'!$V$5:$V$36)</f>
        <v>73</v>
      </c>
      <c r="I49" s="25"/>
      <c r="J49" s="25"/>
      <c r="K49" s="25">
        <f>SUMIF('Forecasted Calendar Month Usage'!$D$5:$D$41,'Jul17-Jun18 Transport'!$E49,'Forecasted Calendar Month Usage'!$AD$5:$AD$41)*10</f>
        <v>15295257.739041898</v>
      </c>
      <c r="L49" s="25"/>
      <c r="M49" s="25">
        <v>69</v>
      </c>
      <c r="N49" s="25"/>
      <c r="O49" s="26">
        <f>VLOOKUP($E49,'Retail Rates'!$B$7:$L$34,5,FALSE)</f>
        <v>0</v>
      </c>
      <c r="P49" s="26">
        <f>VLOOKUP($E49,'Retail Rates'!$B$7:$L$34,6,FALSE)</f>
        <v>0</v>
      </c>
      <c r="Q49" s="26">
        <f>VLOOKUP($E49,'Retail Rates'!$B$7:$L$34,9,FALSE)</f>
        <v>550</v>
      </c>
      <c r="R49" s="27">
        <f>VLOOKUP($E49,'Retail Rates'!$B$7:$L$34,7,FALSE)</f>
        <v>4.3020000000000003E-2</v>
      </c>
      <c r="S49" s="27">
        <f>VLOOKUP($E49,'Retail Rates'!$B$7:$L$34,8,FALSE)</f>
        <v>0</v>
      </c>
      <c r="T49" s="309">
        <v>75</v>
      </c>
      <c r="U49" s="26">
        <f>VLOOKUP($E49,'Retail Rates'!$B$7:$L$34,11,FALSE)</f>
        <v>0</v>
      </c>
      <c r="V49" s="27"/>
      <c r="W49" s="309"/>
      <c r="X49" s="28">
        <f t="shared" ref="X49:X50" si="192">(+H49*O49)+(I49*O49)</f>
        <v>0</v>
      </c>
      <c r="Y49" s="28">
        <f>J49*P49</f>
        <v>0</v>
      </c>
      <c r="Z49" s="28">
        <f>H49*Q49</f>
        <v>40150</v>
      </c>
      <c r="AA49" s="28">
        <f t="shared" ref="AA49:AA54" si="193">+K49*R49</f>
        <v>658001.98793358251</v>
      </c>
      <c r="AB49" s="28">
        <f>+L49*S49</f>
        <v>0</v>
      </c>
      <c r="AC49" s="28">
        <f>M49*T49</f>
        <v>5175</v>
      </c>
      <c r="AD49" s="28">
        <f>H49*V49</f>
        <v>0</v>
      </c>
      <c r="AE49" s="28"/>
      <c r="AF49" s="28">
        <f t="shared" ref="AF49:AF53" si="194">N49*U49</f>
        <v>0</v>
      </c>
      <c r="AG49" s="28"/>
      <c r="AH49" s="48">
        <f ca="1">SUMIFS(Adjustments!H$5:H$557,Adjustments!$B$5:$B$557,'Jul17-Jun18 Retail'!$D49,Adjustments!$C$5:$C$557,'Jul17-Jun18 Retail'!$E49)</f>
        <v>0</v>
      </c>
      <c r="AI49" s="48">
        <f ca="1">SUMIFS(Adjustments!I$5:I$557,Adjustments!$B$5:$B$557,'Jul17-Jun18 Retail'!$D49,Adjustments!$C$5:$C$557,'Jul17-Jun18 Retail'!$E49)</f>
        <v>0</v>
      </c>
      <c r="AJ49" s="40">
        <f ca="1">SUMIFS(Adjustments!J$5:J$557,Adjustments!$B$5:$B$557,'Jul17-Jun18 Retail'!$D49,Adjustments!$C$5:$C$557,'Jul17-Jun18 Retail'!$E49)</f>
        <v>0</v>
      </c>
      <c r="AK49" s="40">
        <f ca="1">SUMIFS(Adjustments!K$5:K$557,Adjustments!$B$5:$B$557,'Jul17-Jun18 Retail'!$D49,Adjustments!$C$5:$C$557,'Jul17-Jun18 Retail'!$E49)</f>
        <v>0</v>
      </c>
      <c r="AL49" s="40">
        <f ca="1">SUMIFS(Adjustments!L$5:L$557,Adjustments!$B$5:$B$557,'Jul17-Jun18 Retail'!$D49,Adjustments!$C$5:$C$557,'Jul17-Jun18 Retail'!$E49)</f>
        <v>0</v>
      </c>
      <c r="AM49" s="40">
        <f ca="1">SUMIFS(Adjustments!M$5:M$557,Adjustments!$B$5:$B$557,'Jul17-Jun18 Retail'!$D49,Adjustments!$C$5:$C$557,'Jul17-Jun18 Retail'!$E49)</f>
        <v>0</v>
      </c>
      <c r="AN49" s="40">
        <f ca="1">SUMIFS(Adjustments!N$5:N$557,Adjustments!$B$5:$B$557,'Jul17-Jun18 Retail'!$D49,Adjustments!$C$5:$C$557,'Jul17-Jun18 Retail'!$E49)</f>
        <v>0</v>
      </c>
      <c r="AO49" s="40">
        <f ca="1">SUMIFS(Adjustments!O$5:O$557,Adjustments!$B$5:$B$557,'Jul17-Jun18 Retail'!$D49,Adjustments!$C$5:$C$557,'Jul17-Jun18 Retail'!$E49)</f>
        <v>0</v>
      </c>
      <c r="AP49" s="40">
        <f ca="1">SUMIFS(Adjustments!P$5:P$557,Adjustments!$B$5:$B$557,'Jul17-Jun18 Retail'!$D49,Adjustments!$C$5:$C$557,'Jul17-Jun18 Retail'!$E49)</f>
        <v>0</v>
      </c>
      <c r="AQ49" s="28">
        <f t="shared" ref="AQ49:AQ54" ca="1" si="195">+X49+AJ49+(AH49*O49)</f>
        <v>0</v>
      </c>
      <c r="AR49" s="28">
        <f ca="1">+Y49+AK49</f>
        <v>0</v>
      </c>
      <c r="AS49" s="28">
        <f t="shared" ref="AS49:AS54" ca="1" si="196">+AA49+AL49</f>
        <v>658001.98793358251</v>
      </c>
      <c r="AT49" s="28">
        <f t="shared" ref="AT49:AT54" ca="1" si="197">+AB49+AM49</f>
        <v>0</v>
      </c>
      <c r="AU49" s="28">
        <f>Z49</f>
        <v>40150</v>
      </c>
      <c r="AV49" s="28">
        <f>AC49</f>
        <v>5175</v>
      </c>
      <c r="AW49" s="35">
        <f>BG49</f>
        <v>0</v>
      </c>
      <c r="AX49" s="35">
        <f>BF49</f>
        <v>79179.77463002989</v>
      </c>
      <c r="AY49" s="35">
        <f>BH49</f>
        <v>0</v>
      </c>
      <c r="AZ49" s="35">
        <f t="shared" ref="AZ49:AZ54" si="198">BN49</f>
        <v>0</v>
      </c>
      <c r="BA49" s="28">
        <f t="shared" ref="BA49:BA54" ca="1" si="199">+AF49+AP49</f>
        <v>0</v>
      </c>
      <c r="BB49" s="28"/>
      <c r="BC49" s="35">
        <f t="shared" ref="BC49:BC50" ca="1" si="200">ROUND(SUM(AQ49:BB49),2)</f>
        <v>782506.76</v>
      </c>
      <c r="BD49" s="35">
        <f>SUM(BF49:BN49)</f>
        <v>782506.76264096587</v>
      </c>
      <c r="BE49" s="36">
        <f t="shared" ref="BE49:BE54" ca="1" si="201">IF(BD49=0,0,ROUND(BD49/BC49,6))</f>
        <v>1</v>
      </c>
      <c r="BF49" s="35">
        <f>SUMIFS('Fin Forecast'!$Q$3:$Q$600,'Fin Forecast'!$B$3:$B$600,'Jul17-Jun18 Transport'!$E49,'Fin Forecast'!$C$3:$C$600,'Jul17-Jun18 Transport'!$BF$5)*1000</f>
        <v>79179.77463002989</v>
      </c>
      <c r="BG49" s="35">
        <f>SUMIFS('Fin Forecast'!$Q$3:$Q$600,'Fin Forecast'!$B$3:$B$600,'Jul17-Jun18 Transport'!$E49,'Fin Forecast'!$C$3:$C$600,'Jul17-Jun18 Transport'!$BG$5)*1000</f>
        <v>0</v>
      </c>
      <c r="BH49" s="35"/>
      <c r="BI49" s="35">
        <f>SUMIFS('Fin Forecast'!$Q$3:$Q$600,'Fin Forecast'!$B$3:$B$600,'Jul17-Jun18 Transport'!$E49,'Fin Forecast'!$C$3:$C$600,'Jul17-Jun18 Transport'!$BI$5)*1000</f>
        <v>5175</v>
      </c>
      <c r="BJ49" s="35">
        <f>SUMIFS('Fin Forecast'!$Q$3:$Q$600,'Fin Forecast'!$B$3:$B$600,'Jul17-Jun18 Transport'!$E49,'Fin Forecast'!$C$3:$C$600,'Jul17-Jun18 Transport'!$BJ$5)*1000</f>
        <v>40150</v>
      </c>
      <c r="BK49" s="35">
        <f>SUMIFS('Fin Forecast'!$Q$3:$Q$600,'Fin Forecast'!$B$3:$B$600,'Jul17-Jun18 Transport'!$E49,'Fin Forecast'!$C$3:$C$600,'Jul17-Jun18 Transport'!$BK$5)*1000</f>
        <v>0</v>
      </c>
      <c r="BL49" s="35">
        <f>SUMIFS('Fin Forecast'!$Q$3:$Q$600,'Fin Forecast'!$B$3:$B$600,'Jul17-Jun18 Transport'!$E49,'Fin Forecast'!$C$3:$C$600,'Jul17-Jun18 Transport'!$BL$5)*1000</f>
        <v>658001.98801093595</v>
      </c>
      <c r="BM49" s="35">
        <f>SUMIFS('Fin Forecast'!$Q$3:$Q$600,'Fin Forecast'!$B$3:$B$600,'Jul17-Jun18 Transport'!$E49,'Fin Forecast'!$C$3:$C$600,'Jul17-Jun18 Transport'!$BM$5)*1000</f>
        <v>0</v>
      </c>
      <c r="BN49" s="35">
        <f>SUMIFS('Fin Forecast'!$Q$3:$Q$600,'Fin Forecast'!$B$3:$B$600,'Jul17-Jun18 Transport'!$E49,'Fin Forecast'!$C$3:$C$600,'Jul17-Jun18 Transport'!$BN$5)*1000</f>
        <v>0</v>
      </c>
      <c r="BP49" s="44">
        <f t="shared" ref="BP49:BP54" ca="1" si="202">+BC49-BD49</f>
        <v>-2.640965860337019E-3</v>
      </c>
      <c r="BR49" s="49">
        <f t="shared" ref="BR49:BR54" ca="1" si="203">+AQ49+AR49-BK49</f>
        <v>0</v>
      </c>
      <c r="BS49" s="49">
        <f t="shared" ref="BS49:BS54" ca="1" si="204">+AS49+AT49-BL49</f>
        <v>-7.7353441156446934E-5</v>
      </c>
      <c r="BT49" s="49">
        <f t="shared" ref="BT49:BT54" si="205">+AW49-BG49</f>
        <v>0</v>
      </c>
    </row>
    <row r="50" spans="1:72" ht="15" x14ac:dyDescent="0.25">
      <c r="C50" s="6">
        <f>C49+1</f>
        <v>38</v>
      </c>
      <c r="D50" s="361">
        <f>$D$49</f>
        <v>43101</v>
      </c>
      <c r="E50" s="361" t="s">
        <v>43</v>
      </c>
      <c r="F50" s="6" t="str">
        <f t="shared" ref="F50:F54" si="206">MID(E50,6,3)</f>
        <v>896</v>
      </c>
      <c r="G50" s="6" t="str">
        <f>VLOOKUP(E50,'Retail Rates'!$B$7:$D$34,3,FALSE)</f>
        <v>FT-I</v>
      </c>
      <c r="H50" s="25">
        <f>SUMIF('Forcasted Customer Cts'!$D$5:$D$36,'Jul17-Jun18 Transport'!$E50,'Forcasted Customer Cts'!$V$5:$V$36)</f>
        <v>0</v>
      </c>
      <c r="I50" s="25"/>
      <c r="J50" s="25"/>
      <c r="K50" s="25">
        <f>SUMIF('Forecasted Calendar Month Usage'!$D$5:$D$41,'Jul17-Jun18 Transport'!$E50,'Forecasted Calendar Month Usage'!$AD$5:$AD$41)*10</f>
        <v>0</v>
      </c>
      <c r="L50" s="25"/>
      <c r="M50" s="25"/>
      <c r="N50" s="25"/>
      <c r="O50" s="26">
        <f>VLOOKUP($E50,'Retail Rates'!$B$7:$L$34,5,FALSE)</f>
        <v>0</v>
      </c>
      <c r="P50" s="26">
        <f>VLOOKUP($E50,'Retail Rates'!$B$7:$L$34,6,FALSE)</f>
        <v>0</v>
      </c>
      <c r="Q50" s="26">
        <f>VLOOKUP($E50,'Retail Rates'!$B$7:$L$34,9,FALSE)</f>
        <v>550</v>
      </c>
      <c r="R50" s="27">
        <f>VLOOKUP($E50,'Retail Rates'!$B$7:$L$34,7,FALSE)</f>
        <v>4.3020000000000003E-2</v>
      </c>
      <c r="S50" s="27">
        <f>VLOOKUP($E50,'Retail Rates'!$B$7:$L$34,8,FALSE)</f>
        <v>0</v>
      </c>
      <c r="T50" s="309">
        <v>75</v>
      </c>
      <c r="U50" s="26">
        <f>VLOOKUP($E50,'Retail Rates'!$B$7:$L$34,11,FALSE)</f>
        <v>0</v>
      </c>
      <c r="V50" s="27"/>
      <c r="W50" s="309"/>
      <c r="X50" s="28">
        <f t="shared" si="192"/>
        <v>0</v>
      </c>
      <c r="Y50" s="28">
        <f t="shared" ref="Y50:Y54" si="207">J50*P50</f>
        <v>0</v>
      </c>
      <c r="Z50" s="28">
        <f>H50*Q50</f>
        <v>0</v>
      </c>
      <c r="AA50" s="28">
        <f t="shared" si="193"/>
        <v>0</v>
      </c>
      <c r="AB50" s="28">
        <f t="shared" ref="AB50:AB54" si="208">+L50*S50</f>
        <v>0</v>
      </c>
      <c r="AC50" s="28">
        <f t="shared" ref="AC50:AC54" si="209">M50*T50</f>
        <v>0</v>
      </c>
      <c r="AD50" s="28">
        <f t="shared" ref="AD50" si="210">H50*V50</f>
        <v>0</v>
      </c>
      <c r="AE50" s="28"/>
      <c r="AF50" s="28">
        <f t="shared" si="194"/>
        <v>0</v>
      </c>
      <c r="AG50" s="28"/>
      <c r="AH50" s="48">
        <f ca="1">SUMIFS(Adjustments!H$5:H$557,Adjustments!$B$5:$B$557,'Jul17-Jun18 Retail'!$D50,Adjustments!$C$5:$C$557,'Jul17-Jun18 Retail'!$E50)</f>
        <v>0</v>
      </c>
      <c r="AI50" s="48">
        <f ca="1">SUMIFS(Adjustments!I$5:I$557,Adjustments!$B$5:$B$557,'Jul17-Jun18 Retail'!$D50,Adjustments!$C$5:$C$557,'Jul17-Jun18 Retail'!$E50)</f>
        <v>0</v>
      </c>
      <c r="AJ50" s="40">
        <f ca="1">SUMIFS(Adjustments!J$5:J$557,Adjustments!$B$5:$B$557,'Jul17-Jun18 Retail'!$D50,Adjustments!$C$5:$C$557,'Jul17-Jun18 Retail'!$E50)</f>
        <v>0</v>
      </c>
      <c r="AK50" s="40">
        <f ca="1">SUMIFS(Adjustments!K$5:K$557,Adjustments!$B$5:$B$557,'Jul17-Jun18 Retail'!$D50,Adjustments!$C$5:$C$557,'Jul17-Jun18 Retail'!$E50)</f>
        <v>0</v>
      </c>
      <c r="AL50" s="40">
        <f ca="1">SUMIFS(Adjustments!L$5:L$557,Adjustments!$B$5:$B$557,'Jul17-Jun18 Retail'!$D50,Adjustments!$C$5:$C$557,'Jul17-Jun18 Retail'!$E50)</f>
        <v>0</v>
      </c>
      <c r="AM50" s="40">
        <f ca="1">SUMIFS(Adjustments!M$5:M$557,Adjustments!$B$5:$B$557,'Jul17-Jun18 Retail'!$D50,Adjustments!$C$5:$C$557,'Jul17-Jun18 Retail'!$E50)</f>
        <v>0</v>
      </c>
      <c r="AN50" s="40">
        <f ca="1">SUMIFS(Adjustments!N$5:N$557,Adjustments!$B$5:$B$557,'Jul17-Jun18 Retail'!$D50,Adjustments!$C$5:$C$557,'Jul17-Jun18 Retail'!$E50)</f>
        <v>0</v>
      </c>
      <c r="AO50" s="40">
        <f ca="1">SUMIFS(Adjustments!O$5:O$557,Adjustments!$B$5:$B$557,'Jul17-Jun18 Retail'!$D50,Adjustments!$C$5:$C$557,'Jul17-Jun18 Retail'!$E50)</f>
        <v>0</v>
      </c>
      <c r="AP50" s="40">
        <f ca="1">SUMIFS(Adjustments!P$5:P$557,Adjustments!$B$5:$B$557,'Jul17-Jun18 Retail'!$D50,Adjustments!$C$5:$C$557,'Jul17-Jun18 Retail'!$E50)</f>
        <v>0</v>
      </c>
      <c r="AQ50" s="28">
        <f t="shared" ca="1" si="195"/>
        <v>0</v>
      </c>
      <c r="AR50" s="28">
        <f t="shared" ref="AR50:AR54" ca="1" si="211">+Y50+AK50</f>
        <v>0</v>
      </c>
      <c r="AS50" s="28">
        <f t="shared" ca="1" si="196"/>
        <v>0</v>
      </c>
      <c r="AT50" s="28">
        <f t="shared" ca="1" si="197"/>
        <v>0</v>
      </c>
      <c r="AU50" s="28">
        <f t="shared" ref="AU50:AU54" si="212">Z50</f>
        <v>0</v>
      </c>
      <c r="AV50" s="28">
        <f t="shared" ref="AV50:AV54" si="213">AC50</f>
        <v>0</v>
      </c>
      <c r="AW50" s="35">
        <f t="shared" ref="AW50:AW54" si="214">BG50</f>
        <v>0</v>
      </c>
      <c r="AX50" s="35">
        <f t="shared" ref="AX50:AX54" si="215">BF50</f>
        <v>0</v>
      </c>
      <c r="AY50" s="35">
        <f t="shared" ref="AY50:AY54" si="216">BH50</f>
        <v>0</v>
      </c>
      <c r="AZ50" s="35">
        <f t="shared" si="198"/>
        <v>0</v>
      </c>
      <c r="BA50" s="28">
        <f t="shared" ca="1" si="199"/>
        <v>0</v>
      </c>
      <c r="BB50" s="28"/>
      <c r="BC50" s="35">
        <f t="shared" ca="1" si="200"/>
        <v>0</v>
      </c>
      <c r="BD50" s="35">
        <f t="shared" ref="BD50:BD54" si="217">SUM(BF50:BN50)</f>
        <v>0</v>
      </c>
      <c r="BE50" s="36">
        <f t="shared" si="201"/>
        <v>0</v>
      </c>
      <c r="BF50" s="35">
        <f>SUMIFS('Fin Forecast'!$Q$3:$Q$600,'Fin Forecast'!$B$3:$B$600,'Jul17-Jun18 Transport'!$E50,'Fin Forecast'!$C$3:$C$600,'Jul17-Jun18 Transport'!$BF$5)*1000</f>
        <v>0</v>
      </c>
      <c r="BG50" s="35">
        <f>SUMIFS('Fin Forecast'!$Q$3:$Q$600,'Fin Forecast'!$B$3:$B$600,'Jul17-Jun18 Transport'!$E50,'Fin Forecast'!$C$3:$C$600,'Jul17-Jun18 Transport'!$BG$5)*1000</f>
        <v>0</v>
      </c>
      <c r="BH50" s="35"/>
      <c r="BI50" s="35">
        <f>SUMIFS('Fin Forecast'!$Q$3:$Q$600,'Fin Forecast'!$B$3:$B$600,'Jul17-Jun18 Transport'!$E50,'Fin Forecast'!$C$3:$C$600,'Jul17-Jun18 Transport'!$BI$5)*1000</f>
        <v>0</v>
      </c>
      <c r="BJ50" s="35">
        <f>SUMIFS('Fin Forecast'!$Q$3:$Q$600,'Fin Forecast'!$B$3:$B$600,'Jul17-Jun18 Transport'!$E50,'Fin Forecast'!$C$3:$C$600,'Jul17-Jun18 Transport'!$BJ$5)*1000</f>
        <v>0</v>
      </c>
      <c r="BK50" s="35">
        <f>SUMIFS('Fin Forecast'!$Q$3:$Q$600,'Fin Forecast'!$B$3:$B$600,'Jul17-Jun18 Transport'!$E50,'Fin Forecast'!$C$3:$C$600,'Jul17-Jun18 Transport'!$BK$5)*1000</f>
        <v>0</v>
      </c>
      <c r="BL50" s="35">
        <f>SUMIFS('Fin Forecast'!$Q$3:$Q$600,'Fin Forecast'!$B$3:$B$600,'Jul17-Jun18 Transport'!$E50,'Fin Forecast'!$C$3:$C$600,'Jul17-Jun18 Transport'!$BL$5)*1000</f>
        <v>0</v>
      </c>
      <c r="BM50" s="35">
        <f>SUMIFS('Fin Forecast'!$Q$3:$Q$600,'Fin Forecast'!$B$3:$B$600,'Jul17-Jun18 Transport'!$E50,'Fin Forecast'!$C$3:$C$600,'Jul17-Jun18 Transport'!$BM$5)*1000</f>
        <v>0</v>
      </c>
      <c r="BN50" s="35">
        <f>SUMIFS('Fin Forecast'!$Q$3:$Q$600,'Fin Forecast'!$B$3:$B$600,'Jul17-Jun18 Transport'!$E50,'Fin Forecast'!$C$3:$C$600,'Jul17-Jun18 Transport'!$BN$5)*1000</f>
        <v>0</v>
      </c>
      <c r="BP50" s="44">
        <f t="shared" ca="1" si="202"/>
        <v>0</v>
      </c>
      <c r="BR50" s="49">
        <f t="shared" ca="1" si="203"/>
        <v>0</v>
      </c>
      <c r="BS50" s="49">
        <f t="shared" ca="1" si="204"/>
        <v>0</v>
      </c>
      <c r="BT50" s="49">
        <f t="shared" si="205"/>
        <v>0</v>
      </c>
    </row>
    <row r="51" spans="1:72" ht="15" x14ac:dyDescent="0.25">
      <c r="A51" s="304"/>
      <c r="B51" s="13" t="s">
        <v>444</v>
      </c>
      <c r="C51" s="6">
        <f t="shared" ref="C51:C54" si="218">C50+1</f>
        <v>39</v>
      </c>
      <c r="D51" s="361">
        <f t="shared" ref="D51:D54" si="219">$D$49</f>
        <v>43101</v>
      </c>
      <c r="E51" s="361" t="s">
        <v>31</v>
      </c>
      <c r="F51" s="6" t="str">
        <f t="shared" si="206"/>
        <v>882</v>
      </c>
      <c r="G51" s="6" t="str">
        <f>VLOOKUP(E51,'Retail Rates'!$B$7:$D$34,3,FALSE)</f>
        <v>IGS-TS-2</v>
      </c>
      <c r="H51" s="25"/>
      <c r="I51" s="25"/>
      <c r="J51" s="25">
        <f>SUMIFS('Forcasted Customer Cts'!$V$5:$V$36,'Forcasted Customer Cts'!$D$5:$D$36,$E51,'Forcasted Customer Cts'!$C$5:$C$36,$B51)</f>
        <v>5</v>
      </c>
      <c r="K51" s="25">
        <f>SUMIF('Forecasted Calendar Month Usage'!$D$5:$D$41,'Jul17-Jun18 Transport'!$E51,'Forecasted Calendar Month Usage'!$AD$5:$AD$41)*10</f>
        <v>181201.2729015603</v>
      </c>
      <c r="L51" s="25"/>
      <c r="M51" s="25">
        <v>2</v>
      </c>
      <c r="N51" s="25"/>
      <c r="O51" s="26">
        <f>VLOOKUP($E51,'Retail Rates'!$B$7:$L$34,5,FALSE)</f>
        <v>40</v>
      </c>
      <c r="P51" s="26">
        <f>VLOOKUP($E51,'Retail Rates'!$B$7:$L$34,6,FALSE)</f>
        <v>180</v>
      </c>
      <c r="Q51" s="26">
        <f>VLOOKUP($E51,'Retail Rates'!$B$7:$L$34,9,FALSE)</f>
        <v>550</v>
      </c>
      <c r="R51" s="27">
        <f>VLOOKUP($E51,'Retail Rates'!$B$7:$L$34,7,FALSE)</f>
        <v>0.22778999999999999</v>
      </c>
      <c r="S51" s="27">
        <f>VLOOKUP($E51,'Retail Rates'!$B$7:$L$34,8,FALSE)</f>
        <v>0.17779</v>
      </c>
      <c r="T51" s="309">
        <v>75</v>
      </c>
      <c r="U51" s="26">
        <f>VLOOKUP($E51,'Retail Rates'!$B$7:$L$34,11,FALSE)</f>
        <v>0</v>
      </c>
      <c r="V51" s="309"/>
      <c r="W51" s="309"/>
      <c r="X51" s="28">
        <f>(+H51*O51)+(I51*O51)</f>
        <v>0</v>
      </c>
      <c r="Y51" s="28">
        <f t="shared" si="207"/>
        <v>900</v>
      </c>
      <c r="Z51" s="28">
        <f>(I51+J51)*Q51</f>
        <v>2750</v>
      </c>
      <c r="AA51" s="28">
        <f t="shared" si="193"/>
        <v>41275.837954246417</v>
      </c>
      <c r="AB51" s="28">
        <f t="shared" si="208"/>
        <v>0</v>
      </c>
      <c r="AC51" s="28">
        <f t="shared" si="209"/>
        <v>150</v>
      </c>
      <c r="AD51" s="28">
        <f>(I51+J51)*V51</f>
        <v>0</v>
      </c>
      <c r="AE51" s="28"/>
      <c r="AF51" s="28">
        <f t="shared" si="194"/>
        <v>0</v>
      </c>
      <c r="AG51" s="28"/>
      <c r="AH51" s="48">
        <f ca="1">SUMIFS(Adjustments!H$5:H$557,Adjustments!$B$5:$B$557,'Jul17-Jun18 Retail'!#REF!,Adjustments!$C$5:$C$557,'Jul17-Jun18 Retail'!#REF!)</f>
        <v>0</v>
      </c>
      <c r="AI51" s="48">
        <f ca="1">SUMIFS(Adjustments!I$5:I$557,Adjustments!$B$5:$B$557,'Jul17-Jun18 Retail'!#REF!,Adjustments!$C$5:$C$557,'Jul17-Jun18 Retail'!#REF!)</f>
        <v>0</v>
      </c>
      <c r="AJ51" s="40">
        <f ca="1">SUMIFS(Adjustments!J$5:J$557,Adjustments!$B$5:$B$557,'Jul17-Jun18 Retail'!#REF!,Adjustments!$C$5:$C$557,'Jul17-Jun18 Retail'!#REF!)</f>
        <v>0</v>
      </c>
      <c r="AK51" s="40">
        <f ca="1">SUMIFS(Adjustments!K$5:K$557,Adjustments!$B$5:$B$557,'Jul17-Jun18 Retail'!#REF!,Adjustments!$C$5:$C$557,'Jul17-Jun18 Retail'!#REF!)</f>
        <v>0</v>
      </c>
      <c r="AL51" s="40">
        <f ca="1">SUMIFS(Adjustments!L$5:L$557,Adjustments!$B$5:$B$557,'Jul17-Jun18 Retail'!#REF!,Adjustments!$C$5:$C$557,'Jul17-Jun18 Retail'!#REF!)</f>
        <v>0</v>
      </c>
      <c r="AM51" s="40">
        <f ca="1">SUMIFS(Adjustments!M$5:M$557,Adjustments!$B$5:$B$557,'Jul17-Jun18 Retail'!#REF!,Adjustments!$C$5:$C$557,'Jul17-Jun18 Retail'!#REF!)</f>
        <v>0</v>
      </c>
      <c r="AN51" s="40">
        <f ca="1">SUMIFS(Adjustments!N$5:N$557,Adjustments!$B$5:$B$557,'Jul17-Jun18 Retail'!#REF!,Adjustments!$C$5:$C$557,'Jul17-Jun18 Retail'!#REF!)</f>
        <v>0</v>
      </c>
      <c r="AO51" s="40">
        <f ca="1">SUMIFS(Adjustments!O$5:O$557,Adjustments!$B$5:$B$557,'Jul17-Jun18 Retail'!#REF!,Adjustments!$C$5:$C$557,'Jul17-Jun18 Retail'!#REF!)</f>
        <v>0</v>
      </c>
      <c r="AP51" s="40">
        <f ca="1">SUMIFS(Adjustments!P$5:P$557,Adjustments!$B$5:$B$557,'Jul17-Jun18 Retail'!#REF!,Adjustments!$C$5:$C$557,'Jul17-Jun18 Retail'!#REF!)</f>
        <v>0</v>
      </c>
      <c r="AQ51" s="28">
        <f t="shared" ca="1" si="195"/>
        <v>0</v>
      </c>
      <c r="AR51" s="28">
        <f t="shared" ca="1" si="211"/>
        <v>900</v>
      </c>
      <c r="AS51" s="28">
        <f t="shared" ca="1" si="196"/>
        <v>41275.837954246417</v>
      </c>
      <c r="AT51" s="28">
        <f t="shared" ca="1" si="197"/>
        <v>0</v>
      </c>
      <c r="AU51" s="28">
        <f t="shared" si="212"/>
        <v>2750</v>
      </c>
      <c r="AV51" s="28">
        <f t="shared" si="213"/>
        <v>150</v>
      </c>
      <c r="AW51" s="35">
        <f t="shared" si="214"/>
        <v>0</v>
      </c>
      <c r="AX51" s="35">
        <f t="shared" si="215"/>
        <v>0</v>
      </c>
      <c r="AY51" s="35">
        <f t="shared" si="216"/>
        <v>0</v>
      </c>
      <c r="AZ51" s="35">
        <f t="shared" si="198"/>
        <v>3018.69509187209</v>
      </c>
      <c r="BA51" s="28">
        <f t="shared" ca="1" si="199"/>
        <v>0</v>
      </c>
      <c r="BB51" s="28"/>
      <c r="BC51" s="35">
        <f ca="1">ROUND(SUM(AQ51:BB51),2)</f>
        <v>48094.53</v>
      </c>
      <c r="BD51" s="35">
        <f t="shared" si="217"/>
        <v>48094.533052596795</v>
      </c>
      <c r="BE51" s="36">
        <f t="shared" ca="1" si="201"/>
        <v>1</v>
      </c>
      <c r="BF51" s="35">
        <f>SUMIFS('Fin Forecast'!$Q$3:$Q$600,'Fin Forecast'!$B$3:$B$600,'Jul17-Jun18 Transport'!$E51,'Fin Forecast'!$C$3:$C$600,'Jul17-Jun18 Transport'!$BF$5)*1000</f>
        <v>0</v>
      </c>
      <c r="BG51" s="35">
        <f>SUMIFS('Fin Forecast'!$Q$3:$Q$600,'Fin Forecast'!$B$3:$B$600,'Jul17-Jun18 Transport'!$E51,'Fin Forecast'!$C$3:$C$600,'Jul17-Jun18 Transport'!$BG$5)*1000</f>
        <v>0</v>
      </c>
      <c r="BH51" s="35"/>
      <c r="BI51" s="35">
        <f>SUMIFS('Fin Forecast'!$Q$3:$Q$600,'Fin Forecast'!$B$3:$B$600,'Jul17-Jun18 Transport'!$E51,'Fin Forecast'!$C$3:$C$600,'Jul17-Jun18 Transport'!$BI$5)*1000</f>
        <v>150</v>
      </c>
      <c r="BJ51" s="35">
        <f>SUMIFS('Fin Forecast'!$Q$3:$Q$600,'Fin Forecast'!$B$3:$B$600,'Jul17-Jun18 Transport'!$E51,'Fin Forecast'!$C$3:$C$600,'Jul17-Jun18 Transport'!$BJ$5)*1000</f>
        <v>2750</v>
      </c>
      <c r="BK51" s="35">
        <f>SUMIFS('Fin Forecast'!$Q$3:$Q$600,'Fin Forecast'!$B$3:$B$600,'Jul17-Jun18 Transport'!$E51,'Fin Forecast'!$C$3:$C$600,'Jul17-Jun18 Transport'!$BK$5)*1000</f>
        <v>900</v>
      </c>
      <c r="BL51" s="35">
        <f>SUMIFS('Fin Forecast'!$Q$3:$Q$600,'Fin Forecast'!$B$3:$B$600,'Jul17-Jun18 Transport'!$E51,'Fin Forecast'!$C$3:$C$600,'Jul17-Jun18 Transport'!$BL$5)*1000</f>
        <v>41275.837960724704</v>
      </c>
      <c r="BM51" s="35">
        <f>SUMIFS('Fin Forecast'!$Q$3:$Q$600,'Fin Forecast'!$B$3:$B$600,'Jul17-Jun18 Transport'!$E51,'Fin Forecast'!$C$3:$C$600,'Jul17-Jun18 Transport'!$BM$5)*1000</f>
        <v>0</v>
      </c>
      <c r="BN51" s="35">
        <f>SUMIFS('Fin Forecast'!$Q$3:$Q$600,'Fin Forecast'!$B$3:$B$600,'Jul17-Jun18 Transport'!$E51,'Fin Forecast'!$C$3:$C$600,'Jul17-Jun18 Transport'!$BN$5)*1000</f>
        <v>3018.69509187209</v>
      </c>
      <c r="BP51" s="44">
        <f t="shared" ca="1" si="202"/>
        <v>-3.0525967958965339E-3</v>
      </c>
      <c r="BR51" s="49">
        <f t="shared" ca="1" si="203"/>
        <v>0</v>
      </c>
      <c r="BS51" s="49">
        <f t="shared" ca="1" si="204"/>
        <v>-6.4782871049828827E-6</v>
      </c>
      <c r="BT51" s="49">
        <f t="shared" si="205"/>
        <v>0</v>
      </c>
    </row>
    <row r="52" spans="1:72" ht="15" x14ac:dyDescent="0.25">
      <c r="A52" s="418" t="s">
        <v>639</v>
      </c>
      <c r="C52" s="6">
        <f t="shared" si="218"/>
        <v>40</v>
      </c>
      <c r="D52" s="361">
        <f t="shared" si="219"/>
        <v>43101</v>
      </c>
      <c r="E52" s="361" t="s">
        <v>87</v>
      </c>
      <c r="F52" s="6" t="str">
        <f t="shared" si="206"/>
        <v>892</v>
      </c>
      <c r="G52" s="6" t="str">
        <f>VLOOKUP(E52,'Retail Rates'!$B$7:$D$34,3,FALSE)</f>
        <v>AAGS-I-TS-2</v>
      </c>
      <c r="H52" s="25">
        <f>SUMIF('Forcasted Customer Cts'!$D$5:$D$36,'Jul17-Jun18 Transport'!$E52,'Forcasted Customer Cts'!$V$5:$V$36)</f>
        <v>2</v>
      </c>
      <c r="I52" s="25"/>
      <c r="J52" s="25"/>
      <c r="K52" s="25">
        <f>SUMIF('Forecasted Calendar Month Usage'!$D$5:$D$41,'Jul17-Jun18 Transport'!$E52,'Forecasted Calendar Month Usage'!$AD$5:$AD$41)*10</f>
        <v>219100.05295801791</v>
      </c>
      <c r="L52" s="25"/>
      <c r="M52" s="25"/>
      <c r="N52" s="25"/>
      <c r="O52" s="26">
        <f>VLOOKUP($E52,'Retail Rates'!$B$7:$L$34,5,FALSE)</f>
        <v>400</v>
      </c>
      <c r="P52" s="26">
        <f>VLOOKUP($E52,'Retail Rates'!$B$7:$L$34,6,FALSE)</f>
        <v>0</v>
      </c>
      <c r="Q52" s="26">
        <f>VLOOKUP($E52,'Retail Rates'!$B$7:$L$34,9,FALSE)</f>
        <v>550</v>
      </c>
      <c r="R52" s="27">
        <f>VLOOKUP($E52,'Retail Rates'!$B$7:$L$34,7,FALSE)</f>
        <v>7.009E-2</v>
      </c>
      <c r="S52" s="27">
        <f>VLOOKUP($E52,'Retail Rates'!$B$7:$L$34,8,FALSE)</f>
        <v>0</v>
      </c>
      <c r="T52" s="309">
        <v>75</v>
      </c>
      <c r="U52" s="26">
        <f>VLOOKUP($E52,'Retail Rates'!$B$7:$L$34,11,FALSE)</f>
        <v>0</v>
      </c>
      <c r="V52" s="309"/>
      <c r="W52" s="309"/>
      <c r="X52" s="28">
        <f t="shared" ref="X52:X54" si="220">(+H52*O52)+(I52*O52)</f>
        <v>800</v>
      </c>
      <c r="Y52" s="28">
        <f t="shared" si="207"/>
        <v>0</v>
      </c>
      <c r="Z52" s="28">
        <f t="shared" ref="Z52:Z54" si="221">H52*Q52</f>
        <v>1100</v>
      </c>
      <c r="AA52" s="28">
        <f t="shared" si="193"/>
        <v>15356.722711827475</v>
      </c>
      <c r="AB52" s="28">
        <f t="shared" si="208"/>
        <v>0</v>
      </c>
      <c r="AC52" s="28">
        <f t="shared" si="209"/>
        <v>0</v>
      </c>
      <c r="AD52" s="28">
        <f t="shared" ref="AD52:AD54" si="222">H52*V52</f>
        <v>0</v>
      </c>
      <c r="AE52" s="28"/>
      <c r="AF52" s="28">
        <f t="shared" si="194"/>
        <v>0</v>
      </c>
      <c r="AG52" s="28"/>
      <c r="AH52" s="48">
        <f ca="1">SUMIFS(Adjustments!H$5:H$557,Adjustments!$B$5:$B$557,'Jul17-Jun18 Retail'!$D51,Adjustments!$C$5:$C$557,'Jul17-Jun18 Retail'!$E51)</f>
        <v>0</v>
      </c>
      <c r="AI52" s="48">
        <f ca="1">SUMIFS(Adjustments!I$5:I$557,Adjustments!$B$5:$B$557,'Jul17-Jun18 Retail'!$D51,Adjustments!$C$5:$C$557,'Jul17-Jun18 Retail'!$E51)</f>
        <v>0</v>
      </c>
      <c r="AJ52" s="40">
        <f ca="1">SUMIFS(Adjustments!J$5:J$557,Adjustments!$B$5:$B$557,'Jul17-Jun18 Retail'!$D51,Adjustments!$C$5:$C$557,'Jul17-Jun18 Retail'!$E51)</f>
        <v>0</v>
      </c>
      <c r="AK52" s="40">
        <f ca="1">SUMIFS(Adjustments!K$5:K$557,Adjustments!$B$5:$B$557,'Jul17-Jun18 Retail'!$D51,Adjustments!$C$5:$C$557,'Jul17-Jun18 Retail'!$E51)</f>
        <v>0</v>
      </c>
      <c r="AL52" s="40">
        <f ca="1">SUMIFS(Adjustments!L$5:L$557,Adjustments!$B$5:$B$557,'Jul17-Jun18 Retail'!$D51,Adjustments!$C$5:$C$557,'Jul17-Jun18 Retail'!$E51)</f>
        <v>0</v>
      </c>
      <c r="AM52" s="40">
        <f ca="1">SUMIFS(Adjustments!M$5:M$557,Adjustments!$B$5:$B$557,'Jul17-Jun18 Retail'!$D51,Adjustments!$C$5:$C$557,'Jul17-Jun18 Retail'!$E51)</f>
        <v>0</v>
      </c>
      <c r="AN52" s="40">
        <f ca="1">SUMIFS(Adjustments!N$5:N$557,Adjustments!$B$5:$B$557,'Jul17-Jun18 Retail'!$D51,Adjustments!$C$5:$C$557,'Jul17-Jun18 Retail'!$E51)</f>
        <v>0</v>
      </c>
      <c r="AO52" s="40">
        <f ca="1">SUMIFS(Adjustments!O$5:O$557,Adjustments!$B$5:$B$557,'Jul17-Jun18 Retail'!$D51,Adjustments!$C$5:$C$557,'Jul17-Jun18 Retail'!$E51)</f>
        <v>0</v>
      </c>
      <c r="AP52" s="40">
        <f ca="1">SUMIFS(Adjustments!P$5:P$557,Adjustments!$B$5:$B$557,'Jul17-Jun18 Retail'!$D51,Adjustments!$C$5:$C$557,'Jul17-Jun18 Retail'!$E51)</f>
        <v>0</v>
      </c>
      <c r="AQ52" s="28">
        <f t="shared" ca="1" si="195"/>
        <v>800</v>
      </c>
      <c r="AR52" s="28">
        <f t="shared" ca="1" si="211"/>
        <v>0</v>
      </c>
      <c r="AS52" s="28">
        <f t="shared" ca="1" si="196"/>
        <v>15356.722711827475</v>
      </c>
      <c r="AT52" s="28">
        <f t="shared" ca="1" si="197"/>
        <v>0</v>
      </c>
      <c r="AU52" s="28">
        <f t="shared" si="212"/>
        <v>1100</v>
      </c>
      <c r="AV52" s="28">
        <f t="shared" si="213"/>
        <v>0</v>
      </c>
      <c r="AW52" s="35">
        <f t="shared" si="214"/>
        <v>0</v>
      </c>
      <c r="AX52" s="35">
        <f t="shared" si="215"/>
        <v>0</v>
      </c>
      <c r="AY52" s="35">
        <f t="shared" si="216"/>
        <v>0</v>
      </c>
      <c r="AZ52" s="35">
        <f t="shared" si="198"/>
        <v>5128.8647007232603</v>
      </c>
      <c r="BA52" s="28">
        <f t="shared" ca="1" si="199"/>
        <v>0</v>
      </c>
      <c r="BB52" s="28"/>
      <c r="BC52" s="35">
        <f t="shared" ref="BC52:BC54" ca="1" si="223">ROUND(SUM(AQ52:BB52),2)</f>
        <v>22385.59</v>
      </c>
      <c r="BD52" s="35">
        <f t="shared" si="217"/>
        <v>22385.587412550663</v>
      </c>
      <c r="BE52" s="36">
        <f t="shared" ca="1" si="201"/>
        <v>1</v>
      </c>
      <c r="BF52" s="35">
        <f>SUMIFS('Fin Forecast'!$Q$3:$Q$600,'Fin Forecast'!$B$3:$B$600,'Jul17-Jun18 Transport'!$E52,'Fin Forecast'!$C$3:$C$600,'Jul17-Jun18 Transport'!$BF$5)*1000</f>
        <v>0</v>
      </c>
      <c r="BG52" s="35">
        <f>SUMIFS('Fin Forecast'!$Q$3:$Q$600,'Fin Forecast'!$B$3:$B$600,'Jul17-Jun18 Transport'!$E52,'Fin Forecast'!$C$3:$C$600,'Jul17-Jun18 Transport'!$BG$5)*1000</f>
        <v>0</v>
      </c>
      <c r="BH52" s="35"/>
      <c r="BI52" s="35">
        <f>SUMIFS('Fin Forecast'!$Q$3:$Q$600,'Fin Forecast'!$B$3:$B$600,'Jul17-Jun18 Transport'!$E52,'Fin Forecast'!$C$3:$C$600,'Jul17-Jun18 Transport'!$BI$5)*1000</f>
        <v>0</v>
      </c>
      <c r="BJ52" s="35">
        <f>SUMIFS('Fin Forecast'!$Q$3:$Q$600,'Fin Forecast'!$B$3:$B$600,'Jul17-Jun18 Transport'!$E52,'Fin Forecast'!$C$3:$C$600,'Jul17-Jun18 Transport'!$BJ$5)*1000</f>
        <v>1100</v>
      </c>
      <c r="BK52" s="35">
        <f>SUMIFS('Fin Forecast'!$Q$3:$Q$600,'Fin Forecast'!$B$3:$B$600,'Jul17-Jun18 Transport'!$E52,'Fin Forecast'!$C$3:$C$600,'Jul17-Jun18 Transport'!$BK$5)*1000</f>
        <v>800</v>
      </c>
      <c r="BL52" s="35">
        <f>SUMIFS('Fin Forecast'!$Q$3:$Q$600,'Fin Forecast'!$B$3:$B$600,'Jul17-Jun18 Transport'!$E52,'Fin Forecast'!$C$3:$C$600,'Jul17-Jun18 Transport'!$BL$5)*1000</f>
        <v>15356.7227118274</v>
      </c>
      <c r="BM52" s="35">
        <f>SUMIFS('Fin Forecast'!$Q$3:$Q$600,'Fin Forecast'!$B$3:$B$600,'Jul17-Jun18 Transport'!$E52,'Fin Forecast'!$C$3:$C$600,'Jul17-Jun18 Transport'!$BM$5)*1000</f>
        <v>0</v>
      </c>
      <c r="BN52" s="35">
        <f>SUMIFS('Fin Forecast'!$Q$3:$Q$600,'Fin Forecast'!$B$3:$B$600,'Jul17-Jun18 Transport'!$E52,'Fin Forecast'!$C$3:$C$600,'Jul17-Jun18 Transport'!$BN$5)*1000</f>
        <v>5128.8647007232603</v>
      </c>
      <c r="BP52" s="44">
        <f t="shared" ca="1" si="202"/>
        <v>2.5874493367155083E-3</v>
      </c>
      <c r="BR52" s="49">
        <f t="shared" ca="1" si="203"/>
        <v>0</v>
      </c>
      <c r="BS52" s="49">
        <f t="shared" ca="1" si="204"/>
        <v>7.4578565545380116E-11</v>
      </c>
      <c r="BT52" s="49">
        <f t="shared" si="205"/>
        <v>0</v>
      </c>
    </row>
    <row r="53" spans="1:72" ht="15" x14ac:dyDescent="0.25">
      <c r="C53" s="6">
        <f t="shared" si="218"/>
        <v>41</v>
      </c>
      <c r="D53" s="361">
        <f t="shared" si="219"/>
        <v>43101</v>
      </c>
      <c r="E53" s="361" t="s">
        <v>51</v>
      </c>
      <c r="F53" s="6" t="str">
        <f t="shared" si="206"/>
        <v>997</v>
      </c>
      <c r="G53" s="6" t="str">
        <f>VLOOKUP(E53,'Retail Rates'!$B$7:$D$34,3,FALSE)</f>
        <v>SPC-P</v>
      </c>
      <c r="H53" s="25">
        <f>SUMIF('Forcasted Customer Cts'!$D$5:$D$36,'Jul17-Jun18 Transport'!$E53,'Forcasted Customer Cts'!$V$5:$V$36)</f>
        <v>0</v>
      </c>
      <c r="I53" s="25"/>
      <c r="J53" s="25"/>
      <c r="K53" s="25">
        <f>SUMIF('Forecasted Calendar Month Usage'!$D$5:$D$41,'Jul17-Jun18 Transport'!$E53,'Forecasted Calendar Month Usage'!$AD$5:$AD$41)</f>
        <v>0</v>
      </c>
      <c r="L53" s="25"/>
      <c r="M53" s="25"/>
      <c r="N53" s="25"/>
      <c r="O53" s="26">
        <f>VLOOKUP($E53,'Retail Rates'!$B$7:$L$34,5,FALSE)</f>
        <v>800</v>
      </c>
      <c r="P53" s="26">
        <f>VLOOKUP($E53,'Retail Rates'!$B$7:$L$34,6,FALSE)</f>
        <v>0</v>
      </c>
      <c r="Q53" s="26">
        <f>VLOOKUP($E53,'Retail Rates'!$B$7:$L$34,9,FALSE)</f>
        <v>0</v>
      </c>
      <c r="R53" s="27">
        <f>VLOOKUP($E53,'Retail Rates'!$B$7:$L$34,7,FALSE)</f>
        <v>4.9699999999999996E-3</v>
      </c>
      <c r="S53" s="27">
        <f>VLOOKUP($E53,'Retail Rates'!$B$7:$L$34,8,FALSE)</f>
        <v>0</v>
      </c>
      <c r="T53" s="309">
        <v>0</v>
      </c>
      <c r="U53" s="403">
        <f>VLOOKUP($E53,'Retail Rates'!$B$7:$L$34,11,FALSE)</f>
        <v>0.24801000000000001</v>
      </c>
      <c r="V53" s="27"/>
      <c r="W53" s="309"/>
      <c r="X53" s="28">
        <f t="shared" si="220"/>
        <v>0</v>
      </c>
      <c r="Y53" s="28">
        <f t="shared" si="207"/>
        <v>0</v>
      </c>
      <c r="Z53" s="28">
        <f t="shared" si="221"/>
        <v>0</v>
      </c>
      <c r="AA53" s="28">
        <f t="shared" si="193"/>
        <v>0</v>
      </c>
      <c r="AB53" s="28">
        <f t="shared" si="208"/>
        <v>0</v>
      </c>
      <c r="AC53" s="28">
        <f t="shared" si="209"/>
        <v>0</v>
      </c>
      <c r="AD53" s="28">
        <f t="shared" si="222"/>
        <v>0</v>
      </c>
      <c r="AE53" s="28"/>
      <c r="AF53" s="28">
        <f t="shared" si="194"/>
        <v>0</v>
      </c>
      <c r="AG53" s="28"/>
      <c r="AH53" s="48">
        <f ca="1">SUMIFS(Adjustments!H$5:H$557,Adjustments!$B$5:$B$557,'Jul17-Jun18 Retail'!#REF!,Adjustments!$C$5:$C$557,'Jul17-Jun18 Retail'!#REF!)</f>
        <v>0</v>
      </c>
      <c r="AI53" s="48">
        <f ca="1">SUMIFS(Adjustments!I$5:I$557,Adjustments!$B$5:$B$557,'Jul17-Jun18 Retail'!#REF!,Adjustments!$C$5:$C$557,'Jul17-Jun18 Retail'!#REF!)</f>
        <v>0</v>
      </c>
      <c r="AJ53" s="40">
        <f ca="1">SUMIFS(Adjustments!J$5:J$557,Adjustments!$B$5:$B$557,'Jul17-Jun18 Retail'!#REF!,Adjustments!$C$5:$C$557,'Jul17-Jun18 Retail'!#REF!)</f>
        <v>0</v>
      </c>
      <c r="AK53" s="40">
        <f ca="1">SUMIFS(Adjustments!K$5:K$557,Adjustments!$B$5:$B$557,'Jul17-Jun18 Retail'!#REF!,Adjustments!$C$5:$C$557,'Jul17-Jun18 Retail'!#REF!)</f>
        <v>0</v>
      </c>
      <c r="AL53" s="40">
        <f ca="1">SUMIFS(Adjustments!L$5:L$557,Adjustments!$B$5:$B$557,'Jul17-Jun18 Retail'!#REF!,Adjustments!$C$5:$C$557,'Jul17-Jun18 Retail'!#REF!)</f>
        <v>0</v>
      </c>
      <c r="AM53" s="40">
        <f ca="1">SUMIFS(Adjustments!M$5:M$557,Adjustments!$B$5:$B$557,'Jul17-Jun18 Retail'!#REF!,Adjustments!$C$5:$C$557,'Jul17-Jun18 Retail'!#REF!)</f>
        <v>0</v>
      </c>
      <c r="AN53" s="40">
        <f ca="1">SUMIFS(Adjustments!N$5:N$557,Adjustments!$B$5:$B$557,'Jul17-Jun18 Retail'!#REF!,Adjustments!$C$5:$C$557,'Jul17-Jun18 Retail'!#REF!)</f>
        <v>0</v>
      </c>
      <c r="AO53" s="40">
        <f ca="1">SUMIFS(Adjustments!O$5:O$557,Adjustments!$B$5:$B$557,'Jul17-Jun18 Retail'!#REF!,Adjustments!$C$5:$C$557,'Jul17-Jun18 Retail'!#REF!)</f>
        <v>0</v>
      </c>
      <c r="AP53" s="40">
        <f ca="1">SUMIFS(Adjustments!P$5:P$557,Adjustments!$B$5:$B$557,'Jul17-Jun18 Retail'!#REF!,Adjustments!$C$5:$C$557,'Jul17-Jun18 Retail'!#REF!)</f>
        <v>0</v>
      </c>
      <c r="AQ53" s="28">
        <f t="shared" ca="1" si="195"/>
        <v>0</v>
      </c>
      <c r="AR53" s="28">
        <f t="shared" ca="1" si="211"/>
        <v>0</v>
      </c>
      <c r="AS53" s="28">
        <f t="shared" ca="1" si="196"/>
        <v>0</v>
      </c>
      <c r="AT53" s="28">
        <f t="shared" ca="1" si="197"/>
        <v>0</v>
      </c>
      <c r="AU53" s="28">
        <f t="shared" si="212"/>
        <v>0</v>
      </c>
      <c r="AV53" s="28">
        <f t="shared" si="213"/>
        <v>0</v>
      </c>
      <c r="AW53" s="35">
        <f t="shared" si="214"/>
        <v>0</v>
      </c>
      <c r="AX53" s="35">
        <f t="shared" si="215"/>
        <v>0</v>
      </c>
      <c r="AY53" s="35">
        <f t="shared" si="216"/>
        <v>0</v>
      </c>
      <c r="AZ53" s="35">
        <f t="shared" si="198"/>
        <v>0</v>
      </c>
      <c r="BA53" s="28">
        <f t="shared" ca="1" si="199"/>
        <v>0</v>
      </c>
      <c r="BB53" s="28"/>
      <c r="BC53" s="35">
        <f t="shared" ca="1" si="223"/>
        <v>0</v>
      </c>
      <c r="BD53" s="35">
        <f t="shared" si="217"/>
        <v>0</v>
      </c>
      <c r="BE53" s="36">
        <f t="shared" si="201"/>
        <v>0</v>
      </c>
      <c r="BF53" s="35">
        <f>SUMIFS('Fin Forecast'!$Q$3:$Q$600,'Fin Forecast'!$B$3:$B$600,'Jul17-Jun18 Transport'!$E53,'Fin Forecast'!$C$3:$C$600,'Jul17-Jun18 Transport'!$BF$5)*1000</f>
        <v>0</v>
      </c>
      <c r="BG53" s="35">
        <f>SUMIFS('Fin Forecast'!$Q$3:$Q$600,'Fin Forecast'!$B$3:$B$600,'Jul17-Jun18 Transport'!$E53,'Fin Forecast'!$C$3:$C$600,'Jul17-Jun18 Transport'!$BG$5)*1000</f>
        <v>0</v>
      </c>
      <c r="BH53" s="35"/>
      <c r="BI53" s="35">
        <f>SUMIFS('Fin Forecast'!$Q$3:$Q$600,'Fin Forecast'!$B$3:$B$600,'Jul17-Jun18 Transport'!$E53,'Fin Forecast'!$C$3:$C$600,'Jul17-Jun18 Transport'!$BI$5)*1000</f>
        <v>0</v>
      </c>
      <c r="BJ53" s="35">
        <f>SUMIFS('Fin Forecast'!$Q$3:$Q$600,'Fin Forecast'!$B$3:$B$600,'Jul17-Jun18 Transport'!$E53,'Fin Forecast'!$C$3:$C$600,'Jul17-Jun18 Transport'!$BJ$5)*1000</f>
        <v>0</v>
      </c>
      <c r="BK53" s="35">
        <f>SUMIFS('Fin Forecast'!$Q$3:$Q$600,'Fin Forecast'!$B$3:$B$600,'Jul17-Jun18 Transport'!$E53,'Fin Forecast'!$C$3:$C$600,'Jul17-Jun18 Transport'!$BK$5)*1000</f>
        <v>0</v>
      </c>
      <c r="BL53" s="35">
        <f>SUMIFS('Fin Forecast'!$Q$3:$Q$600,'Fin Forecast'!$B$3:$B$600,'Jul17-Jun18 Transport'!$E53,'Fin Forecast'!$C$3:$C$600,'Jul17-Jun18 Transport'!$BL$5)*1000</f>
        <v>0</v>
      </c>
      <c r="BM53" s="35">
        <f>SUMIFS('Fin Forecast'!$Q$3:$Q$600,'Fin Forecast'!$B$3:$B$600,'Jul17-Jun18 Transport'!$E53,'Fin Forecast'!$C$3:$C$600,'Jul17-Jun18 Transport'!$BM$5)*1000</f>
        <v>0</v>
      </c>
      <c r="BN53" s="35">
        <f>SUMIFS('Fin Forecast'!$Q$3:$Q$600,'Fin Forecast'!$B$3:$B$600,'Jul17-Jun18 Transport'!$E53,'Fin Forecast'!$C$3:$C$600,'Jul17-Jun18 Transport'!$BN$5)*1000</f>
        <v>0</v>
      </c>
      <c r="BP53" s="44">
        <f t="shared" ca="1" si="202"/>
        <v>0</v>
      </c>
      <c r="BR53" s="49">
        <f t="shared" ca="1" si="203"/>
        <v>0</v>
      </c>
      <c r="BS53" s="49">
        <f t="shared" ca="1" si="204"/>
        <v>0</v>
      </c>
      <c r="BT53" s="49">
        <f t="shared" si="205"/>
        <v>0</v>
      </c>
    </row>
    <row r="54" spans="1:72" ht="15" x14ac:dyDescent="0.25">
      <c r="A54" s="304"/>
      <c r="C54" s="6">
        <f t="shared" si="218"/>
        <v>42</v>
      </c>
      <c r="D54" s="361">
        <f t="shared" si="219"/>
        <v>43101</v>
      </c>
      <c r="E54" s="361" t="s">
        <v>34</v>
      </c>
      <c r="F54" s="6" t="str">
        <f t="shared" si="206"/>
        <v>996</v>
      </c>
      <c r="G54" s="6" t="s">
        <v>754</v>
      </c>
      <c r="H54" s="25">
        <f>SUMIF('Forcasted Customer Cts'!$D$5:$D$36,'Jul17-Jun18 Transport'!$E54,'Forcasted Customer Cts'!$V$5:$V$36)</f>
        <v>1</v>
      </c>
      <c r="I54" s="25"/>
      <c r="J54" s="25"/>
      <c r="K54" s="25">
        <f>SUMIF('Forecasted Calendar Month Usage'!$D$5:$D$41,'Jul17-Jun18 Transport'!$E54,'Forecasted Calendar Month Usage'!$AD$5:$AD$41)*10</f>
        <v>122795.99999999997</v>
      </c>
      <c r="L54" s="25"/>
      <c r="M54" s="25"/>
      <c r="N54" s="25">
        <f>16560*10</f>
        <v>165600</v>
      </c>
      <c r="O54" s="26">
        <f>VLOOKUP($E54,'Retail Rates'!$B$7:$L$34,5,FALSE)</f>
        <v>180</v>
      </c>
      <c r="P54" s="26">
        <f>VLOOKUP($E54,'Retail Rates'!$B$7:$L$34,6,FALSE)</f>
        <v>0</v>
      </c>
      <c r="Q54" s="26">
        <f>VLOOKUP($E54,'Retail Rates'!$B$7:$L$34,9,FALSE)</f>
        <v>0</v>
      </c>
      <c r="R54" s="27">
        <f>VLOOKUP($E54,'Retail Rates'!$B$7:$L$34,7,FALSE)</f>
        <v>3.329E-2</v>
      </c>
      <c r="S54" s="27">
        <f>VLOOKUP($E54,'Retail Rates'!$B$7:$L$34,8,FALSE)</f>
        <v>0</v>
      </c>
      <c r="T54" s="309">
        <v>0</v>
      </c>
      <c r="U54" s="403">
        <f>VLOOKUP($E54,'Retail Rates'!$B$7:$L$34,11,FALSE)</f>
        <v>1.12629</v>
      </c>
      <c r="V54" s="27"/>
      <c r="W54" s="309"/>
      <c r="X54" s="28">
        <f t="shared" si="220"/>
        <v>180</v>
      </c>
      <c r="Y54" s="28">
        <f t="shared" si="207"/>
        <v>0</v>
      </c>
      <c r="Z54" s="28">
        <f t="shared" si="221"/>
        <v>0</v>
      </c>
      <c r="AA54" s="28">
        <f t="shared" si="193"/>
        <v>4087.8788399999989</v>
      </c>
      <c r="AB54" s="28">
        <f t="shared" si="208"/>
        <v>0</v>
      </c>
      <c r="AC54" s="28">
        <f t="shared" si="209"/>
        <v>0</v>
      </c>
      <c r="AD54" s="28">
        <f t="shared" si="222"/>
        <v>0</v>
      </c>
      <c r="AE54" s="28"/>
      <c r="AF54" s="28">
        <f>N54*U54</f>
        <v>186513.62400000001</v>
      </c>
      <c r="AG54" s="28"/>
      <c r="AH54" s="48">
        <f ca="1">SUMIFS(Adjustments!H$5:H$557,Adjustments!$B$5:$B$557,'Jul17-Jun18 Retail'!$D52,Adjustments!$C$5:$C$557,'Jul17-Jun18 Retail'!$E52)</f>
        <v>0</v>
      </c>
      <c r="AI54" s="48">
        <f ca="1">SUMIFS(Adjustments!I$5:I$557,Adjustments!$B$5:$B$557,'Jul17-Jun18 Retail'!$D52,Adjustments!$C$5:$C$557,'Jul17-Jun18 Retail'!$E52)</f>
        <v>0</v>
      </c>
      <c r="AJ54" s="40">
        <f ca="1">SUMIFS(Adjustments!J$5:J$557,Adjustments!$B$5:$B$557,'Jul17-Jun18 Retail'!$D52,Adjustments!$C$5:$C$557,'Jul17-Jun18 Retail'!$E52)</f>
        <v>0</v>
      </c>
      <c r="AK54" s="40">
        <f ca="1">SUMIFS(Adjustments!K$5:K$557,Adjustments!$B$5:$B$557,'Jul17-Jun18 Retail'!$D52,Adjustments!$C$5:$C$557,'Jul17-Jun18 Retail'!$E52)</f>
        <v>0</v>
      </c>
      <c r="AL54" s="40">
        <f ca="1">SUMIFS(Adjustments!L$5:L$557,Adjustments!$B$5:$B$557,'Jul17-Jun18 Retail'!$D52,Adjustments!$C$5:$C$557,'Jul17-Jun18 Retail'!$E52)</f>
        <v>0</v>
      </c>
      <c r="AM54" s="40">
        <f ca="1">SUMIFS(Adjustments!M$5:M$557,Adjustments!$B$5:$B$557,'Jul17-Jun18 Retail'!$D52,Adjustments!$C$5:$C$557,'Jul17-Jun18 Retail'!$E52)</f>
        <v>0</v>
      </c>
      <c r="AN54" s="40">
        <f ca="1">SUMIFS(Adjustments!N$5:N$557,Adjustments!$B$5:$B$557,'Jul17-Jun18 Retail'!$D52,Adjustments!$C$5:$C$557,'Jul17-Jun18 Retail'!$E52)</f>
        <v>0</v>
      </c>
      <c r="AO54" s="40">
        <f ca="1">SUMIFS(Adjustments!O$5:O$557,Adjustments!$B$5:$B$557,'Jul17-Jun18 Retail'!$D52,Adjustments!$C$5:$C$557,'Jul17-Jun18 Retail'!$E52)</f>
        <v>0</v>
      </c>
      <c r="AP54" s="40">
        <f ca="1">SUMIFS(Adjustments!P$5:P$557,Adjustments!$B$5:$B$557,'Jul17-Jun18 Retail'!$D52,Adjustments!$C$5:$C$557,'Jul17-Jun18 Retail'!$E52)</f>
        <v>0</v>
      </c>
      <c r="AQ54" s="28">
        <f t="shared" ca="1" si="195"/>
        <v>180</v>
      </c>
      <c r="AR54" s="28">
        <f t="shared" ca="1" si="211"/>
        <v>0</v>
      </c>
      <c r="AS54" s="28">
        <f t="shared" ca="1" si="196"/>
        <v>4087.8788399999989</v>
      </c>
      <c r="AT54" s="28">
        <f t="shared" ca="1" si="197"/>
        <v>0</v>
      </c>
      <c r="AU54" s="28">
        <f t="shared" si="212"/>
        <v>0</v>
      </c>
      <c r="AV54" s="28">
        <f t="shared" si="213"/>
        <v>0</v>
      </c>
      <c r="AW54" s="35">
        <f t="shared" si="214"/>
        <v>52876.931985184397</v>
      </c>
      <c r="AX54" s="35">
        <f t="shared" si="215"/>
        <v>0</v>
      </c>
      <c r="AY54" s="35">
        <f t="shared" si="216"/>
        <v>0</v>
      </c>
      <c r="AZ54" s="35">
        <f t="shared" si="198"/>
        <v>0</v>
      </c>
      <c r="BA54" s="28">
        <f t="shared" ca="1" si="199"/>
        <v>186513.62400000001</v>
      </c>
      <c r="BB54" s="28"/>
      <c r="BC54" s="35">
        <f t="shared" ca="1" si="223"/>
        <v>243658.43</v>
      </c>
      <c r="BD54" s="35">
        <f t="shared" si="217"/>
        <v>243658.43482518438</v>
      </c>
      <c r="BE54" s="36">
        <f t="shared" ca="1" si="201"/>
        <v>1</v>
      </c>
      <c r="BF54" s="35">
        <f>SUMIFS('Fin Forecast'!$Q$3:$Q$600,'Fin Forecast'!$B$3:$B$600,'Jul17-Jun18 Transport'!$E54,'Fin Forecast'!$C$3:$C$600,'Jul17-Jun18 Transport'!$BF$5)*1000</f>
        <v>0</v>
      </c>
      <c r="BG54" s="35">
        <f>SUMIFS('Fin Forecast'!$Q$3:$Q$600,'Fin Forecast'!$B$3:$B$600,'Jul17-Jun18 Transport'!$E54,'Fin Forecast'!$C$3:$C$600,'Jul17-Jun18 Transport'!$BG$5)*1000</f>
        <v>52876.931985184397</v>
      </c>
      <c r="BH54" s="35"/>
      <c r="BI54" s="35">
        <f>SUMIFS('Fin Forecast'!$Q$3:$Q$600,'Fin Forecast'!$B$3:$B$600,'Jul17-Jun18 Transport'!$E54,'Fin Forecast'!$C$3:$C$600,'Jul17-Jun18 Transport'!$BI$5)*1000</f>
        <v>0</v>
      </c>
      <c r="BJ54" s="35">
        <f>SUMIFS('Fin Forecast'!$Q$3:$Q$600,'Fin Forecast'!$B$3:$B$600,'Jul17-Jun18 Transport'!$E54,'Fin Forecast'!$C$3:$C$600,'Jul17-Jun18 Transport'!$BJ$5)*1000</f>
        <v>0</v>
      </c>
      <c r="BK54" s="35">
        <f>SUMIFS('Fin Forecast'!$Q$3:$Q$600,'Fin Forecast'!$B$3:$B$600,'Jul17-Jun18 Transport'!$E54,'Fin Forecast'!$C$3:$C$600,'Jul17-Jun18 Transport'!$BK$5)*1000</f>
        <v>180</v>
      </c>
      <c r="BL54" s="35">
        <f>SUMIFS('Fin Forecast'!$Q$3:$Q$600,'Fin Forecast'!$B$3:$B$600,'Jul17-Jun18 Transport'!$E54,'Fin Forecast'!$C$3:$C$600,'Jul17-Jun18 Transport'!$BL$5)*1000</f>
        <v>4087.8788400000003</v>
      </c>
      <c r="BM54" s="35">
        <f>SUMIFS('Fin Forecast'!$Q$3:$Q$600,'Fin Forecast'!$B$3:$B$600,'Jul17-Jun18 Transport'!$E54,'Fin Forecast'!$C$3:$C$600,'Jul17-Jun18 Transport'!$BM$5)*1000</f>
        <v>186513.62399999998</v>
      </c>
      <c r="BN54" s="35">
        <f>SUMIFS('Fin Forecast'!$Q$3:$Q$600,'Fin Forecast'!$B$3:$B$600,'Jul17-Jun18 Transport'!$E54,'Fin Forecast'!$C$3:$C$600,'Jul17-Jun18 Transport'!$BN$5)*1000</f>
        <v>0</v>
      </c>
      <c r="BP54" s="44">
        <f t="shared" ca="1" si="202"/>
        <v>-4.8251843836624175E-3</v>
      </c>
      <c r="BR54" s="49">
        <f t="shared" ca="1" si="203"/>
        <v>0</v>
      </c>
      <c r="BS54" s="49">
        <f t="shared" ca="1" si="204"/>
        <v>0</v>
      </c>
      <c r="BT54" s="49">
        <f t="shared" si="205"/>
        <v>0</v>
      </c>
    </row>
    <row r="55" spans="1:72" s="323" customFormat="1" ht="15" x14ac:dyDescent="0.25">
      <c r="C55" s="324"/>
      <c r="D55" s="362"/>
      <c r="E55" s="362"/>
      <c r="F55" s="324"/>
      <c r="G55" s="324"/>
      <c r="H55" s="325"/>
      <c r="I55" s="325"/>
      <c r="J55" s="325"/>
      <c r="K55" s="332"/>
      <c r="L55" s="332"/>
      <c r="M55" s="332"/>
      <c r="O55" s="326"/>
      <c r="P55" s="326"/>
      <c r="Q55" s="327"/>
      <c r="R55" s="327"/>
      <c r="S55" s="327"/>
      <c r="T55" s="326"/>
      <c r="U55" s="327"/>
      <c r="V55" s="327"/>
      <c r="W55" s="328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30"/>
      <c r="AI55" s="330"/>
      <c r="AJ55" s="329"/>
      <c r="AK55" s="329"/>
      <c r="AL55" s="329"/>
      <c r="AM55" s="329"/>
      <c r="AN55" s="329"/>
      <c r="AO55" s="329"/>
      <c r="AP55" s="329"/>
      <c r="AQ55" s="341"/>
      <c r="AR55" s="341"/>
      <c r="AS55" s="341"/>
      <c r="AT55" s="341"/>
      <c r="AU55" s="341"/>
      <c r="AV55" s="341"/>
      <c r="AW55" s="329"/>
      <c r="AX55" s="329"/>
      <c r="AY55" s="329"/>
      <c r="AZ55" s="329"/>
      <c r="BA55" s="329"/>
      <c r="BB55" s="329"/>
      <c r="BC55" s="329"/>
      <c r="BD55" s="329"/>
      <c r="BE55" s="331"/>
      <c r="BF55" s="341"/>
      <c r="BG55" s="341"/>
      <c r="BH55" s="341"/>
      <c r="BI55" s="341"/>
      <c r="BJ55" s="341"/>
      <c r="BK55" s="341"/>
      <c r="BL55" s="341"/>
      <c r="BM55" s="341"/>
      <c r="BN55" s="341"/>
      <c r="BP55" s="329"/>
      <c r="BR55" s="329"/>
      <c r="BS55" s="329"/>
      <c r="BT55" s="329"/>
    </row>
    <row r="56" spans="1:72" ht="15" x14ac:dyDescent="0.25">
      <c r="C56" s="6">
        <f>C54+1</f>
        <v>43</v>
      </c>
      <c r="D56" s="361">
        <f>EDATE(D49,1)</f>
        <v>43132</v>
      </c>
      <c r="E56" s="361" t="s">
        <v>41</v>
      </c>
      <c r="F56" s="6" t="str">
        <f>MID(E56,6,3)</f>
        <v>895</v>
      </c>
      <c r="G56" s="6" t="str">
        <f>VLOOKUP(E56,'Retail Rates'!$B$7:$D$34,3,FALSE)</f>
        <v>FT-C</v>
      </c>
      <c r="H56" s="25">
        <f>SUMIF('Forcasted Customer Cts'!$D$5:$D$36,'Jul17-Jun18 Transport'!$E56,'Forcasted Customer Cts'!$W$5:$W$36)</f>
        <v>73</v>
      </c>
      <c r="I56" s="25"/>
      <c r="J56" s="25"/>
      <c r="K56" s="25">
        <f>SUMIF('Forecasted Calendar Month Usage'!$D$5:$D$41,'Jul17-Jun18 Transport'!$E56,'Forecasted Calendar Month Usage'!$AE$5:$AE$41)*10</f>
        <v>13295941.137332805</v>
      </c>
      <c r="L56" s="25"/>
      <c r="M56" s="25">
        <v>69</v>
      </c>
      <c r="N56" s="25"/>
      <c r="O56" s="26">
        <f>VLOOKUP($E56,'Retail Rates'!$B$7:$L$34,5,FALSE)</f>
        <v>0</v>
      </c>
      <c r="P56" s="26">
        <f>VLOOKUP($E56,'Retail Rates'!$B$7:$L$34,6,FALSE)</f>
        <v>0</v>
      </c>
      <c r="Q56" s="26">
        <f>VLOOKUP($E56,'Retail Rates'!$B$7:$L$34,9,FALSE)</f>
        <v>550</v>
      </c>
      <c r="R56" s="27">
        <f>VLOOKUP($E56,'Retail Rates'!$B$7:$L$34,7,FALSE)</f>
        <v>4.3020000000000003E-2</v>
      </c>
      <c r="S56" s="27">
        <f>VLOOKUP($E56,'Retail Rates'!$B$7:$L$34,8,FALSE)</f>
        <v>0</v>
      </c>
      <c r="T56" s="309">
        <v>75</v>
      </c>
      <c r="U56" s="26">
        <f>VLOOKUP($E56,'Retail Rates'!$B$7:$L$34,11,FALSE)</f>
        <v>0</v>
      </c>
      <c r="V56" s="27"/>
      <c r="W56" s="309"/>
      <c r="X56" s="28">
        <f t="shared" ref="X56:X57" si="224">(+H56*O56)+(I56*O56)</f>
        <v>0</v>
      </c>
      <c r="Y56" s="28">
        <f>J56*P56</f>
        <v>0</v>
      </c>
      <c r="Z56" s="28">
        <f>H56*Q56</f>
        <v>40150</v>
      </c>
      <c r="AA56" s="28">
        <f t="shared" ref="AA56:AA61" si="225">+K56*R56</f>
        <v>571991.38772805734</v>
      </c>
      <c r="AB56" s="28">
        <f>+L56*S56</f>
        <v>0</v>
      </c>
      <c r="AC56" s="28">
        <f>M56*T56</f>
        <v>5175</v>
      </c>
      <c r="AD56" s="28">
        <f>H56*V56</f>
        <v>0</v>
      </c>
      <c r="AE56" s="28"/>
      <c r="AF56" s="28">
        <f t="shared" ref="AF56:AF60" si="226">N56*U56</f>
        <v>0</v>
      </c>
      <c r="AG56" s="28"/>
      <c r="AH56" s="48">
        <f ca="1">SUMIFS(Adjustments!H$5:H$557,Adjustments!$B$5:$B$557,'Jul17-Jun18 Retail'!$D56,Adjustments!$C$5:$C$557,'Jul17-Jun18 Retail'!$E56)</f>
        <v>0</v>
      </c>
      <c r="AI56" s="48">
        <f ca="1">SUMIFS(Adjustments!I$5:I$557,Adjustments!$B$5:$B$557,'Jul17-Jun18 Retail'!$D56,Adjustments!$C$5:$C$557,'Jul17-Jun18 Retail'!$E56)</f>
        <v>0</v>
      </c>
      <c r="AJ56" s="40">
        <f ca="1">SUMIFS(Adjustments!J$5:J$557,Adjustments!$B$5:$B$557,'Jul17-Jun18 Retail'!$D56,Adjustments!$C$5:$C$557,'Jul17-Jun18 Retail'!$E56)</f>
        <v>0</v>
      </c>
      <c r="AK56" s="40">
        <f ca="1">SUMIFS(Adjustments!K$5:K$557,Adjustments!$B$5:$B$557,'Jul17-Jun18 Retail'!$D56,Adjustments!$C$5:$C$557,'Jul17-Jun18 Retail'!$E56)</f>
        <v>0</v>
      </c>
      <c r="AL56" s="40">
        <f ca="1">SUMIFS(Adjustments!L$5:L$557,Adjustments!$B$5:$B$557,'Jul17-Jun18 Retail'!$D56,Adjustments!$C$5:$C$557,'Jul17-Jun18 Retail'!$E56)</f>
        <v>0</v>
      </c>
      <c r="AM56" s="40">
        <f ca="1">SUMIFS(Adjustments!M$5:M$557,Adjustments!$B$5:$B$557,'Jul17-Jun18 Retail'!$D56,Adjustments!$C$5:$C$557,'Jul17-Jun18 Retail'!$E56)</f>
        <v>0</v>
      </c>
      <c r="AN56" s="40">
        <f ca="1">SUMIFS(Adjustments!N$5:N$557,Adjustments!$B$5:$B$557,'Jul17-Jun18 Retail'!$D56,Adjustments!$C$5:$C$557,'Jul17-Jun18 Retail'!$E56)</f>
        <v>0</v>
      </c>
      <c r="AO56" s="40">
        <f ca="1">SUMIFS(Adjustments!O$5:O$557,Adjustments!$B$5:$B$557,'Jul17-Jun18 Retail'!$D56,Adjustments!$C$5:$C$557,'Jul17-Jun18 Retail'!$E56)</f>
        <v>0</v>
      </c>
      <c r="AP56" s="40">
        <f ca="1">SUMIFS(Adjustments!P$5:P$557,Adjustments!$B$5:$B$557,'Jul17-Jun18 Retail'!$D56,Adjustments!$C$5:$C$557,'Jul17-Jun18 Retail'!$E56)</f>
        <v>0</v>
      </c>
      <c r="AQ56" s="28">
        <f t="shared" ref="AQ56:AQ61" ca="1" si="227">+X56+AJ56+(AH56*O56)</f>
        <v>0</v>
      </c>
      <c r="AR56" s="28">
        <f ca="1">+Y56+AK56</f>
        <v>0</v>
      </c>
      <c r="AS56" s="28">
        <f t="shared" ref="AS56:AS61" ca="1" si="228">+AA56+AL56</f>
        <v>571991.38772805734</v>
      </c>
      <c r="AT56" s="28">
        <f t="shared" ref="AT56:AT61" ca="1" si="229">+AB56+AM56</f>
        <v>0</v>
      </c>
      <c r="AU56" s="28">
        <f>Z56</f>
        <v>40150</v>
      </c>
      <c r="AV56" s="28">
        <f>AC56</f>
        <v>5175</v>
      </c>
      <c r="AW56" s="35">
        <f>BG56</f>
        <v>0</v>
      </c>
      <c r="AX56" s="35">
        <f>BF56</f>
        <v>85839.693063363375</v>
      </c>
      <c r="AY56" s="35">
        <f>BH56</f>
        <v>0</v>
      </c>
      <c r="AZ56" s="35">
        <f t="shared" ref="AZ56:AZ61" si="230">BN56</f>
        <v>0</v>
      </c>
      <c r="BA56" s="28">
        <f t="shared" ref="BA56:BA61" ca="1" si="231">+AF56+AP56</f>
        <v>0</v>
      </c>
      <c r="BB56" s="28"/>
      <c r="BC56" s="35">
        <f t="shared" ref="BC56:BC57" ca="1" si="232">ROUND(SUM(AQ56:BB56),2)</f>
        <v>703156.08</v>
      </c>
      <c r="BD56" s="35">
        <f>SUM(BF56:BN56)</f>
        <v>703156.08100037626</v>
      </c>
      <c r="BE56" s="36">
        <f t="shared" ref="BE56:BE61" ca="1" si="233">IF(BD56=0,0,ROUND(BD56/BC56,6))</f>
        <v>1</v>
      </c>
      <c r="BF56" s="35">
        <f>SUMIFS('Fin Forecast'!$R$3:$R$600,'Fin Forecast'!$B$3:$B$600,'Jul17-Jun18 Transport'!$E56,'Fin Forecast'!$C$3:$C$600,'Jul17-Jun18 Transport'!$BF$5)*1000</f>
        <v>85839.693063363375</v>
      </c>
      <c r="BG56" s="35">
        <f>SUMIFS('Fin Forecast'!$R$3:$R$600,'Fin Forecast'!$B$3:$B$600,'Jul17-Jun18 Transport'!$E56,'Fin Forecast'!$C$3:$C$600,'Jul17-Jun18 Transport'!$BG$5)*1000</f>
        <v>0</v>
      </c>
      <c r="BH56" s="35"/>
      <c r="BI56" s="35">
        <f>SUMIFS('Fin Forecast'!$R$3:$R$600,'Fin Forecast'!$B$3:$B$600,'Jul17-Jun18 Transport'!$E56,'Fin Forecast'!$C$3:$C$600,'Jul17-Jun18 Transport'!$BI$5)*1000</f>
        <v>5175</v>
      </c>
      <c r="BJ56" s="35">
        <f>SUMIFS('Fin Forecast'!$R$3:$R$600,'Fin Forecast'!$B$3:$B$600,'Jul17-Jun18 Transport'!$E56,'Fin Forecast'!$C$3:$C$600,'Jul17-Jun18 Transport'!$BJ$5)*1000</f>
        <v>40150</v>
      </c>
      <c r="BK56" s="35">
        <f>SUMIFS('Fin Forecast'!$R$3:$R$600,'Fin Forecast'!$B$3:$B$600,'Jul17-Jun18 Transport'!$E56,'Fin Forecast'!$C$3:$C$600,'Jul17-Jun18 Transport'!$BK$5)*1000</f>
        <v>0</v>
      </c>
      <c r="BL56" s="35">
        <f>SUMIFS('Fin Forecast'!$R$3:$R$600,'Fin Forecast'!$B$3:$B$600,'Jul17-Jun18 Transport'!$E56,'Fin Forecast'!$C$3:$C$600,'Jul17-Jun18 Transport'!$BL$5)*1000</f>
        <v>571991.38793701294</v>
      </c>
      <c r="BM56" s="35">
        <f>SUMIFS('Fin Forecast'!$R$3:$R$600,'Fin Forecast'!$B$3:$B$600,'Jul17-Jun18 Transport'!$E56,'Fin Forecast'!$C$3:$C$600,'Jul17-Jun18 Transport'!$BM$5)*1000</f>
        <v>0</v>
      </c>
      <c r="BN56" s="35">
        <f>SUMIFS('Fin Forecast'!$R$3:$R$600,'Fin Forecast'!$B$3:$B$600,'Jul17-Jun18 Transport'!$E56,'Fin Forecast'!$C$3:$C$600,'Jul17-Jun18 Transport'!$BN$5)*1000</f>
        <v>0</v>
      </c>
      <c r="BP56" s="44">
        <f t="shared" ref="BP56:BP61" ca="1" si="234">+BC56-BD56</f>
        <v>-1.000376301817596E-3</v>
      </c>
      <c r="BR56" s="49">
        <f t="shared" ref="BR56:BR61" ca="1" si="235">+AQ56+AR56-BK56</f>
        <v>0</v>
      </c>
      <c r="BS56" s="49">
        <f t="shared" ref="BS56:BS61" ca="1" si="236">+AS56+AT56-BL56</f>
        <v>-2.089556073769927E-4</v>
      </c>
      <c r="BT56" s="49">
        <f t="shared" ref="BT56:BT61" si="237">+AW56-BG56</f>
        <v>0</v>
      </c>
    </row>
    <row r="57" spans="1:72" ht="15" x14ac:dyDescent="0.25">
      <c r="C57" s="6">
        <f>C56+1</f>
        <v>44</v>
      </c>
      <c r="D57" s="361">
        <f>$D$56</f>
        <v>43132</v>
      </c>
      <c r="E57" s="361" t="s">
        <v>43</v>
      </c>
      <c r="F57" s="6" t="str">
        <f t="shared" ref="F57:F61" si="238">MID(E57,6,3)</f>
        <v>896</v>
      </c>
      <c r="G57" s="6" t="str">
        <f>VLOOKUP(E57,'Retail Rates'!$B$7:$D$34,3,FALSE)</f>
        <v>FT-I</v>
      </c>
      <c r="H57" s="25">
        <f>SUMIF('Forcasted Customer Cts'!$D$5:$D$36,'Jul17-Jun18 Transport'!$E57,'Forcasted Customer Cts'!$W$5:$W$36)</f>
        <v>0</v>
      </c>
      <c r="I57" s="25"/>
      <c r="J57" s="25"/>
      <c r="K57" s="25">
        <f>SUMIF('Forecasted Calendar Month Usage'!$D$5:$D$41,'Jul17-Jun18 Transport'!$E57,'Forecasted Calendar Month Usage'!$AE$5:$AE$41)*10</f>
        <v>0</v>
      </c>
      <c r="L57" s="25"/>
      <c r="M57" s="25"/>
      <c r="N57" s="25"/>
      <c r="O57" s="26">
        <f>VLOOKUP($E57,'Retail Rates'!$B$7:$L$34,5,FALSE)</f>
        <v>0</v>
      </c>
      <c r="P57" s="26">
        <f>VLOOKUP($E57,'Retail Rates'!$B$7:$L$34,6,FALSE)</f>
        <v>0</v>
      </c>
      <c r="Q57" s="26">
        <f>VLOOKUP($E57,'Retail Rates'!$B$7:$L$34,9,FALSE)</f>
        <v>550</v>
      </c>
      <c r="R57" s="27">
        <f>VLOOKUP($E57,'Retail Rates'!$B$7:$L$34,7,FALSE)</f>
        <v>4.3020000000000003E-2</v>
      </c>
      <c r="S57" s="27">
        <f>VLOOKUP($E57,'Retail Rates'!$B$7:$L$34,8,FALSE)</f>
        <v>0</v>
      </c>
      <c r="T57" s="309">
        <v>75</v>
      </c>
      <c r="U57" s="26">
        <f>VLOOKUP($E57,'Retail Rates'!$B$7:$L$34,11,FALSE)</f>
        <v>0</v>
      </c>
      <c r="V57" s="27"/>
      <c r="W57" s="309"/>
      <c r="X57" s="28">
        <f t="shared" si="224"/>
        <v>0</v>
      </c>
      <c r="Y57" s="28">
        <f t="shared" ref="Y57:Y61" si="239">J57*P57</f>
        <v>0</v>
      </c>
      <c r="Z57" s="28">
        <f>H57*Q57</f>
        <v>0</v>
      </c>
      <c r="AA57" s="28">
        <f t="shared" si="225"/>
        <v>0</v>
      </c>
      <c r="AB57" s="28">
        <f t="shared" ref="AB57:AB61" si="240">+L57*S57</f>
        <v>0</v>
      </c>
      <c r="AC57" s="28">
        <f t="shared" ref="AC57:AC61" si="241">M57*T57</f>
        <v>0</v>
      </c>
      <c r="AD57" s="28">
        <f t="shared" ref="AD57" si="242">H57*V57</f>
        <v>0</v>
      </c>
      <c r="AE57" s="28"/>
      <c r="AF57" s="28">
        <f t="shared" si="226"/>
        <v>0</v>
      </c>
      <c r="AG57" s="28"/>
      <c r="AH57" s="48">
        <f ca="1">SUMIFS(Adjustments!H$5:H$557,Adjustments!$B$5:$B$557,'Jul17-Jun18 Retail'!$D57,Adjustments!$C$5:$C$557,'Jul17-Jun18 Retail'!$E57)</f>
        <v>0</v>
      </c>
      <c r="AI57" s="48">
        <f ca="1">SUMIFS(Adjustments!I$5:I$557,Adjustments!$B$5:$B$557,'Jul17-Jun18 Retail'!$D57,Adjustments!$C$5:$C$557,'Jul17-Jun18 Retail'!$E57)</f>
        <v>0</v>
      </c>
      <c r="AJ57" s="40">
        <f ca="1">SUMIFS(Adjustments!J$5:J$557,Adjustments!$B$5:$B$557,'Jul17-Jun18 Retail'!$D57,Adjustments!$C$5:$C$557,'Jul17-Jun18 Retail'!$E57)</f>
        <v>0</v>
      </c>
      <c r="AK57" s="40">
        <f ca="1">SUMIFS(Adjustments!K$5:K$557,Adjustments!$B$5:$B$557,'Jul17-Jun18 Retail'!$D57,Adjustments!$C$5:$C$557,'Jul17-Jun18 Retail'!$E57)</f>
        <v>0</v>
      </c>
      <c r="AL57" s="40">
        <f ca="1">SUMIFS(Adjustments!L$5:L$557,Adjustments!$B$5:$B$557,'Jul17-Jun18 Retail'!$D57,Adjustments!$C$5:$C$557,'Jul17-Jun18 Retail'!$E57)</f>
        <v>0</v>
      </c>
      <c r="AM57" s="40">
        <f ca="1">SUMIFS(Adjustments!M$5:M$557,Adjustments!$B$5:$B$557,'Jul17-Jun18 Retail'!$D57,Adjustments!$C$5:$C$557,'Jul17-Jun18 Retail'!$E57)</f>
        <v>0</v>
      </c>
      <c r="AN57" s="40">
        <f ca="1">SUMIFS(Adjustments!N$5:N$557,Adjustments!$B$5:$B$557,'Jul17-Jun18 Retail'!$D57,Adjustments!$C$5:$C$557,'Jul17-Jun18 Retail'!$E57)</f>
        <v>0</v>
      </c>
      <c r="AO57" s="40">
        <f ca="1">SUMIFS(Adjustments!O$5:O$557,Adjustments!$B$5:$B$557,'Jul17-Jun18 Retail'!$D57,Adjustments!$C$5:$C$557,'Jul17-Jun18 Retail'!$E57)</f>
        <v>0</v>
      </c>
      <c r="AP57" s="40">
        <f ca="1">SUMIFS(Adjustments!P$5:P$557,Adjustments!$B$5:$B$557,'Jul17-Jun18 Retail'!$D57,Adjustments!$C$5:$C$557,'Jul17-Jun18 Retail'!$E57)</f>
        <v>0</v>
      </c>
      <c r="AQ57" s="28">
        <f t="shared" ca="1" si="227"/>
        <v>0</v>
      </c>
      <c r="AR57" s="28">
        <f t="shared" ref="AR57:AR61" ca="1" si="243">+Y57+AK57</f>
        <v>0</v>
      </c>
      <c r="AS57" s="28">
        <f t="shared" ca="1" si="228"/>
        <v>0</v>
      </c>
      <c r="AT57" s="28">
        <f t="shared" ca="1" si="229"/>
        <v>0</v>
      </c>
      <c r="AU57" s="28">
        <f t="shared" ref="AU57:AU61" si="244">Z57</f>
        <v>0</v>
      </c>
      <c r="AV57" s="28">
        <f t="shared" ref="AV57:AV61" si="245">AC57</f>
        <v>0</v>
      </c>
      <c r="AW57" s="35">
        <f t="shared" ref="AW57:AW61" si="246">BG57</f>
        <v>0</v>
      </c>
      <c r="AX57" s="35">
        <f t="shared" ref="AX57:AX61" si="247">BF57</f>
        <v>0</v>
      </c>
      <c r="AY57" s="35">
        <f t="shared" ref="AY57:AY61" si="248">BH57</f>
        <v>0</v>
      </c>
      <c r="AZ57" s="35">
        <f t="shared" si="230"/>
        <v>0</v>
      </c>
      <c r="BA57" s="28">
        <f t="shared" ca="1" si="231"/>
        <v>0</v>
      </c>
      <c r="BB57" s="28"/>
      <c r="BC57" s="35">
        <f t="shared" ca="1" si="232"/>
        <v>0</v>
      </c>
      <c r="BD57" s="35">
        <f t="shared" ref="BD57:BD61" si="249">SUM(BF57:BN57)</f>
        <v>0</v>
      </c>
      <c r="BE57" s="36">
        <f t="shared" si="233"/>
        <v>0</v>
      </c>
      <c r="BF57" s="35">
        <f>SUMIFS('Fin Forecast'!$R$3:$R$600,'Fin Forecast'!$B$3:$B$600,'Jul17-Jun18 Transport'!$E57,'Fin Forecast'!$C$3:$C$600,'Jul17-Jun18 Transport'!$BF$5)*1000</f>
        <v>0</v>
      </c>
      <c r="BG57" s="35">
        <f>SUMIFS('Fin Forecast'!$R$3:$R$600,'Fin Forecast'!$B$3:$B$600,'Jul17-Jun18 Transport'!$E57,'Fin Forecast'!$C$3:$C$600,'Jul17-Jun18 Transport'!$BG$5)*1000</f>
        <v>0</v>
      </c>
      <c r="BH57" s="35"/>
      <c r="BI57" s="35">
        <f>SUMIFS('Fin Forecast'!$R$3:$R$600,'Fin Forecast'!$B$3:$B$600,'Jul17-Jun18 Transport'!$E57,'Fin Forecast'!$C$3:$C$600,'Jul17-Jun18 Transport'!$BI$5)*1000</f>
        <v>0</v>
      </c>
      <c r="BJ57" s="35">
        <f>SUMIFS('Fin Forecast'!$R$3:$R$600,'Fin Forecast'!$B$3:$B$600,'Jul17-Jun18 Transport'!$E57,'Fin Forecast'!$C$3:$C$600,'Jul17-Jun18 Transport'!$BJ$5)*1000</f>
        <v>0</v>
      </c>
      <c r="BK57" s="35">
        <f>SUMIFS('Fin Forecast'!$R$3:$R$600,'Fin Forecast'!$B$3:$B$600,'Jul17-Jun18 Transport'!$E57,'Fin Forecast'!$C$3:$C$600,'Jul17-Jun18 Transport'!$BK$5)*1000</f>
        <v>0</v>
      </c>
      <c r="BL57" s="35">
        <f>SUMIFS('Fin Forecast'!$R$3:$R$600,'Fin Forecast'!$B$3:$B$600,'Jul17-Jun18 Transport'!$E57,'Fin Forecast'!$C$3:$C$600,'Jul17-Jun18 Transport'!$BL$5)*1000</f>
        <v>0</v>
      </c>
      <c r="BM57" s="35">
        <f>SUMIFS('Fin Forecast'!$R$3:$R$600,'Fin Forecast'!$B$3:$B$600,'Jul17-Jun18 Transport'!$E57,'Fin Forecast'!$C$3:$C$600,'Jul17-Jun18 Transport'!$BM$5)*1000</f>
        <v>0</v>
      </c>
      <c r="BN57" s="35">
        <f>SUMIFS('Fin Forecast'!$R$3:$R$600,'Fin Forecast'!$B$3:$B$600,'Jul17-Jun18 Transport'!$E57,'Fin Forecast'!$C$3:$C$600,'Jul17-Jun18 Transport'!$BN$5)*1000</f>
        <v>0</v>
      </c>
      <c r="BP57" s="44">
        <f t="shared" ca="1" si="234"/>
        <v>0</v>
      </c>
      <c r="BR57" s="49">
        <f t="shared" ca="1" si="235"/>
        <v>0</v>
      </c>
      <c r="BS57" s="49">
        <f t="shared" ca="1" si="236"/>
        <v>0</v>
      </c>
      <c r="BT57" s="49">
        <f t="shared" si="237"/>
        <v>0</v>
      </c>
    </row>
    <row r="58" spans="1:72" ht="15" x14ac:dyDescent="0.25">
      <c r="A58" s="304"/>
      <c r="B58" s="13" t="s">
        <v>444</v>
      </c>
      <c r="C58" s="6">
        <f t="shared" ref="C58:C61" si="250">C57+1</f>
        <v>45</v>
      </c>
      <c r="D58" s="361">
        <f t="shared" ref="D58:D61" si="251">$D$56</f>
        <v>43132</v>
      </c>
      <c r="E58" s="361" t="s">
        <v>31</v>
      </c>
      <c r="F58" s="6" t="str">
        <f t="shared" si="238"/>
        <v>882</v>
      </c>
      <c r="G58" s="6" t="str">
        <f>VLOOKUP(E58,'Retail Rates'!$B$7:$D$34,3,FALSE)</f>
        <v>IGS-TS-2</v>
      </c>
      <c r="H58" s="25"/>
      <c r="I58" s="25"/>
      <c r="J58" s="25">
        <f>SUMIFS('Forcasted Customer Cts'!$W$5:$W$36,'Forcasted Customer Cts'!$D$5:$D$36,$E58,'Forcasted Customer Cts'!$C$5:$C$36,$B58)</f>
        <v>5</v>
      </c>
      <c r="K58" s="25">
        <f>SUMIF('Forecasted Calendar Month Usage'!$D$5:$D$41,'Jul17-Jun18 Transport'!$E58,'Forecasted Calendar Month Usage'!$AE$5:$AE$41)*10</f>
        <v>115884.4320755363</v>
      </c>
      <c r="L58" s="25"/>
      <c r="M58" s="25">
        <v>2</v>
      </c>
      <c r="N58" s="25"/>
      <c r="O58" s="26">
        <f>VLOOKUP($E58,'Retail Rates'!$B$7:$L$34,5,FALSE)</f>
        <v>40</v>
      </c>
      <c r="P58" s="26">
        <f>VLOOKUP($E58,'Retail Rates'!$B$7:$L$34,6,FALSE)</f>
        <v>180</v>
      </c>
      <c r="Q58" s="26">
        <f>VLOOKUP($E58,'Retail Rates'!$B$7:$L$34,9,FALSE)</f>
        <v>550</v>
      </c>
      <c r="R58" s="27">
        <f>VLOOKUP($E58,'Retail Rates'!$B$7:$L$34,7,FALSE)</f>
        <v>0.22778999999999999</v>
      </c>
      <c r="S58" s="27">
        <f>VLOOKUP($E58,'Retail Rates'!$B$7:$L$34,8,FALSE)</f>
        <v>0.17779</v>
      </c>
      <c r="T58" s="309">
        <v>75</v>
      </c>
      <c r="U58" s="26">
        <f>VLOOKUP($E58,'Retail Rates'!$B$7:$L$34,11,FALSE)</f>
        <v>0</v>
      </c>
      <c r="V58" s="309"/>
      <c r="W58" s="309"/>
      <c r="X58" s="28">
        <f>(+H58*O58)+(I58*O58)</f>
        <v>0</v>
      </c>
      <c r="Y58" s="28">
        <f t="shared" si="239"/>
        <v>900</v>
      </c>
      <c r="Z58" s="28">
        <f>(I58+J58)*Q58</f>
        <v>2750</v>
      </c>
      <c r="AA58" s="28">
        <f t="shared" si="225"/>
        <v>26397.314782486414</v>
      </c>
      <c r="AB58" s="28">
        <f t="shared" si="240"/>
        <v>0</v>
      </c>
      <c r="AC58" s="28">
        <f t="shared" si="241"/>
        <v>150</v>
      </c>
      <c r="AD58" s="28">
        <f>(I58+J58)*V58</f>
        <v>0</v>
      </c>
      <c r="AE58" s="28"/>
      <c r="AF58" s="28">
        <f t="shared" si="226"/>
        <v>0</v>
      </c>
      <c r="AG58" s="28"/>
      <c r="AH58" s="48">
        <f ca="1">SUMIFS(Adjustments!H$5:H$557,Adjustments!$B$5:$B$557,'Jul17-Jun18 Retail'!#REF!,Adjustments!$C$5:$C$557,'Jul17-Jun18 Retail'!#REF!)</f>
        <v>0</v>
      </c>
      <c r="AI58" s="48">
        <f ca="1">SUMIFS(Adjustments!I$5:I$557,Adjustments!$B$5:$B$557,'Jul17-Jun18 Retail'!#REF!,Adjustments!$C$5:$C$557,'Jul17-Jun18 Retail'!#REF!)</f>
        <v>0</v>
      </c>
      <c r="AJ58" s="40">
        <f ca="1">SUMIFS(Adjustments!J$5:J$557,Adjustments!$B$5:$B$557,'Jul17-Jun18 Retail'!#REF!,Adjustments!$C$5:$C$557,'Jul17-Jun18 Retail'!#REF!)</f>
        <v>0</v>
      </c>
      <c r="AK58" s="40">
        <f ca="1">SUMIFS(Adjustments!K$5:K$557,Adjustments!$B$5:$B$557,'Jul17-Jun18 Retail'!#REF!,Adjustments!$C$5:$C$557,'Jul17-Jun18 Retail'!#REF!)</f>
        <v>0</v>
      </c>
      <c r="AL58" s="40">
        <f ca="1">SUMIFS(Adjustments!L$5:L$557,Adjustments!$B$5:$B$557,'Jul17-Jun18 Retail'!#REF!,Adjustments!$C$5:$C$557,'Jul17-Jun18 Retail'!#REF!)</f>
        <v>0</v>
      </c>
      <c r="AM58" s="40">
        <f ca="1">SUMIFS(Adjustments!M$5:M$557,Adjustments!$B$5:$B$557,'Jul17-Jun18 Retail'!#REF!,Adjustments!$C$5:$C$557,'Jul17-Jun18 Retail'!#REF!)</f>
        <v>0</v>
      </c>
      <c r="AN58" s="40">
        <f ca="1">SUMIFS(Adjustments!N$5:N$557,Adjustments!$B$5:$B$557,'Jul17-Jun18 Retail'!#REF!,Adjustments!$C$5:$C$557,'Jul17-Jun18 Retail'!#REF!)</f>
        <v>0</v>
      </c>
      <c r="AO58" s="40">
        <f ca="1">SUMIFS(Adjustments!O$5:O$557,Adjustments!$B$5:$B$557,'Jul17-Jun18 Retail'!#REF!,Adjustments!$C$5:$C$557,'Jul17-Jun18 Retail'!#REF!)</f>
        <v>0</v>
      </c>
      <c r="AP58" s="40">
        <f ca="1">SUMIFS(Adjustments!P$5:P$557,Adjustments!$B$5:$B$557,'Jul17-Jun18 Retail'!#REF!,Adjustments!$C$5:$C$557,'Jul17-Jun18 Retail'!#REF!)</f>
        <v>0</v>
      </c>
      <c r="AQ58" s="28">
        <f t="shared" ca="1" si="227"/>
        <v>0</v>
      </c>
      <c r="AR58" s="28">
        <f t="shared" ca="1" si="243"/>
        <v>900</v>
      </c>
      <c r="AS58" s="28">
        <f t="shared" ca="1" si="228"/>
        <v>26397.314782486414</v>
      </c>
      <c r="AT58" s="28">
        <f t="shared" ca="1" si="229"/>
        <v>0</v>
      </c>
      <c r="AU58" s="28">
        <f t="shared" si="244"/>
        <v>2750</v>
      </c>
      <c r="AV58" s="28">
        <f t="shared" si="245"/>
        <v>150</v>
      </c>
      <c r="AW58" s="35">
        <f t="shared" si="246"/>
        <v>0</v>
      </c>
      <c r="AX58" s="35">
        <f t="shared" si="247"/>
        <v>0</v>
      </c>
      <c r="AY58" s="35">
        <f t="shared" si="248"/>
        <v>0</v>
      </c>
      <c r="AZ58" s="35">
        <f t="shared" si="230"/>
        <v>2049.2413155202003</v>
      </c>
      <c r="BA58" s="28">
        <f t="shared" ca="1" si="231"/>
        <v>0</v>
      </c>
      <c r="BB58" s="28"/>
      <c r="BC58" s="35">
        <f ca="1">ROUND(SUM(AQ58:BB58),2)</f>
        <v>32246.560000000001</v>
      </c>
      <c r="BD58" s="35">
        <f t="shared" si="249"/>
        <v>32246.5561065404</v>
      </c>
      <c r="BE58" s="36">
        <f t="shared" ca="1" si="233"/>
        <v>1</v>
      </c>
      <c r="BF58" s="35">
        <f>SUMIFS('Fin Forecast'!$R$3:$R$600,'Fin Forecast'!$B$3:$B$600,'Jul17-Jun18 Transport'!$E58,'Fin Forecast'!$C$3:$C$600,'Jul17-Jun18 Transport'!$BF$5)*1000</f>
        <v>0</v>
      </c>
      <c r="BG58" s="35">
        <f>SUMIFS('Fin Forecast'!$R$3:$R$600,'Fin Forecast'!$B$3:$B$600,'Jul17-Jun18 Transport'!$E58,'Fin Forecast'!$C$3:$C$600,'Jul17-Jun18 Transport'!$BG$5)*1000</f>
        <v>0</v>
      </c>
      <c r="BH58" s="35"/>
      <c r="BI58" s="35">
        <f>SUMIFS('Fin Forecast'!$R$3:$R$600,'Fin Forecast'!$B$3:$B$600,'Jul17-Jun18 Transport'!$E58,'Fin Forecast'!$C$3:$C$600,'Jul17-Jun18 Transport'!$BI$5)*1000</f>
        <v>150</v>
      </c>
      <c r="BJ58" s="35">
        <f>SUMIFS('Fin Forecast'!$R$3:$R$600,'Fin Forecast'!$B$3:$B$600,'Jul17-Jun18 Transport'!$E58,'Fin Forecast'!$C$3:$C$600,'Jul17-Jun18 Transport'!$BJ$5)*1000</f>
        <v>2750</v>
      </c>
      <c r="BK58" s="35">
        <f>SUMIFS('Fin Forecast'!$R$3:$R$600,'Fin Forecast'!$B$3:$B$600,'Jul17-Jun18 Transport'!$E58,'Fin Forecast'!$C$3:$C$600,'Jul17-Jun18 Transport'!$BK$5)*1000</f>
        <v>900</v>
      </c>
      <c r="BL58" s="35">
        <f>SUMIFS('Fin Forecast'!$R$3:$R$600,'Fin Forecast'!$B$3:$B$600,'Jul17-Jun18 Transport'!$E58,'Fin Forecast'!$C$3:$C$600,'Jul17-Jun18 Transport'!$BL$5)*1000</f>
        <v>26397.314791020199</v>
      </c>
      <c r="BM58" s="35">
        <f>SUMIFS('Fin Forecast'!$R$3:$R$600,'Fin Forecast'!$B$3:$B$600,'Jul17-Jun18 Transport'!$E58,'Fin Forecast'!$C$3:$C$600,'Jul17-Jun18 Transport'!$BM$5)*1000</f>
        <v>0</v>
      </c>
      <c r="BN58" s="35">
        <f>SUMIFS('Fin Forecast'!$R$3:$R$600,'Fin Forecast'!$B$3:$B$600,'Jul17-Jun18 Transport'!$E58,'Fin Forecast'!$C$3:$C$600,'Jul17-Jun18 Transport'!$BN$5)*1000</f>
        <v>2049.2413155202003</v>
      </c>
      <c r="BP58" s="44">
        <f t="shared" ca="1" si="234"/>
        <v>3.8934596013859846E-3</v>
      </c>
      <c r="BR58" s="49">
        <f t="shared" ca="1" si="235"/>
        <v>0</v>
      </c>
      <c r="BS58" s="49">
        <f t="shared" ca="1" si="236"/>
        <v>-8.5337851487565786E-6</v>
      </c>
      <c r="BT58" s="49">
        <f t="shared" si="237"/>
        <v>0</v>
      </c>
    </row>
    <row r="59" spans="1:72" ht="15" x14ac:dyDescent="0.25">
      <c r="A59" s="418" t="s">
        <v>639</v>
      </c>
      <c r="C59" s="6">
        <f t="shared" si="250"/>
        <v>46</v>
      </c>
      <c r="D59" s="361">
        <f t="shared" si="251"/>
        <v>43132</v>
      </c>
      <c r="E59" s="361" t="s">
        <v>87</v>
      </c>
      <c r="F59" s="6" t="str">
        <f t="shared" si="238"/>
        <v>892</v>
      </c>
      <c r="G59" s="6" t="str">
        <f>VLOOKUP(E59,'Retail Rates'!$B$7:$D$34,3,FALSE)</f>
        <v>AAGS-I-TS-2</v>
      </c>
      <c r="H59" s="25">
        <f>SUMIF('Forcasted Customer Cts'!$D$5:$D$36,'Jul17-Jun18 Transport'!$E59,'Forcasted Customer Cts'!$W$5:$W$36)</f>
        <v>2</v>
      </c>
      <c r="I59" s="25"/>
      <c r="J59" s="25"/>
      <c r="K59" s="25">
        <f>SUMIF('Forecasted Calendar Month Usage'!$D$5:$D$41,'Jul17-Jun18 Transport'!$E59,'Forecasted Calendar Month Usage'!$AE$5:$AE$41)*10</f>
        <v>128737.99739643803</v>
      </c>
      <c r="L59" s="25"/>
      <c r="M59" s="25"/>
      <c r="N59" s="25"/>
      <c r="O59" s="26">
        <f>VLOOKUP($E59,'Retail Rates'!$B$7:$L$34,5,FALSE)</f>
        <v>400</v>
      </c>
      <c r="P59" s="26">
        <f>VLOOKUP($E59,'Retail Rates'!$B$7:$L$34,6,FALSE)</f>
        <v>0</v>
      </c>
      <c r="Q59" s="26">
        <f>VLOOKUP($E59,'Retail Rates'!$B$7:$L$34,9,FALSE)</f>
        <v>550</v>
      </c>
      <c r="R59" s="27">
        <f>VLOOKUP($E59,'Retail Rates'!$B$7:$L$34,7,FALSE)</f>
        <v>7.009E-2</v>
      </c>
      <c r="S59" s="27">
        <f>VLOOKUP($E59,'Retail Rates'!$B$7:$L$34,8,FALSE)</f>
        <v>0</v>
      </c>
      <c r="T59" s="309">
        <v>75</v>
      </c>
      <c r="U59" s="26">
        <f>VLOOKUP($E59,'Retail Rates'!$B$7:$L$34,11,FALSE)</f>
        <v>0</v>
      </c>
      <c r="V59" s="309"/>
      <c r="W59" s="309"/>
      <c r="X59" s="28">
        <f t="shared" ref="X59:X61" si="252">(+H59*O59)+(I59*O59)</f>
        <v>800</v>
      </c>
      <c r="Y59" s="28">
        <f t="shared" si="239"/>
        <v>0</v>
      </c>
      <c r="Z59" s="28">
        <f t="shared" ref="Z59:Z61" si="253">H59*Q59</f>
        <v>1100</v>
      </c>
      <c r="AA59" s="28">
        <f t="shared" si="225"/>
        <v>9023.2462375163414</v>
      </c>
      <c r="AB59" s="28">
        <f t="shared" si="240"/>
        <v>0</v>
      </c>
      <c r="AC59" s="28">
        <f t="shared" si="241"/>
        <v>0</v>
      </c>
      <c r="AD59" s="28">
        <f t="shared" ref="AD59:AD61" si="254">H59*V59</f>
        <v>0</v>
      </c>
      <c r="AE59" s="28"/>
      <c r="AF59" s="28">
        <f t="shared" si="226"/>
        <v>0</v>
      </c>
      <c r="AG59" s="28"/>
      <c r="AH59" s="48">
        <f ca="1">SUMIFS(Adjustments!H$5:H$557,Adjustments!$B$5:$B$557,'Jul17-Jun18 Retail'!$D58,Adjustments!$C$5:$C$557,'Jul17-Jun18 Retail'!$E58)</f>
        <v>0</v>
      </c>
      <c r="AI59" s="48">
        <f ca="1">SUMIFS(Adjustments!I$5:I$557,Adjustments!$B$5:$B$557,'Jul17-Jun18 Retail'!$D58,Adjustments!$C$5:$C$557,'Jul17-Jun18 Retail'!$E58)</f>
        <v>0</v>
      </c>
      <c r="AJ59" s="40">
        <f ca="1">SUMIFS(Adjustments!J$5:J$557,Adjustments!$B$5:$B$557,'Jul17-Jun18 Retail'!$D58,Adjustments!$C$5:$C$557,'Jul17-Jun18 Retail'!$E58)</f>
        <v>0</v>
      </c>
      <c r="AK59" s="40">
        <f ca="1">SUMIFS(Adjustments!K$5:K$557,Adjustments!$B$5:$B$557,'Jul17-Jun18 Retail'!$D58,Adjustments!$C$5:$C$557,'Jul17-Jun18 Retail'!$E58)</f>
        <v>0</v>
      </c>
      <c r="AL59" s="40">
        <f ca="1">SUMIFS(Adjustments!L$5:L$557,Adjustments!$B$5:$B$557,'Jul17-Jun18 Retail'!$D58,Adjustments!$C$5:$C$557,'Jul17-Jun18 Retail'!$E58)</f>
        <v>0</v>
      </c>
      <c r="AM59" s="40">
        <f ca="1">SUMIFS(Adjustments!M$5:M$557,Adjustments!$B$5:$B$557,'Jul17-Jun18 Retail'!$D58,Adjustments!$C$5:$C$557,'Jul17-Jun18 Retail'!$E58)</f>
        <v>0</v>
      </c>
      <c r="AN59" s="40">
        <f ca="1">SUMIFS(Adjustments!N$5:N$557,Adjustments!$B$5:$B$557,'Jul17-Jun18 Retail'!$D58,Adjustments!$C$5:$C$557,'Jul17-Jun18 Retail'!$E58)</f>
        <v>0</v>
      </c>
      <c r="AO59" s="40">
        <f ca="1">SUMIFS(Adjustments!O$5:O$557,Adjustments!$B$5:$B$557,'Jul17-Jun18 Retail'!$D58,Adjustments!$C$5:$C$557,'Jul17-Jun18 Retail'!$E58)</f>
        <v>0</v>
      </c>
      <c r="AP59" s="40">
        <f ca="1">SUMIFS(Adjustments!P$5:P$557,Adjustments!$B$5:$B$557,'Jul17-Jun18 Retail'!$D58,Adjustments!$C$5:$C$557,'Jul17-Jun18 Retail'!$E58)</f>
        <v>0</v>
      </c>
      <c r="AQ59" s="28">
        <f t="shared" ca="1" si="227"/>
        <v>800</v>
      </c>
      <c r="AR59" s="28">
        <f t="shared" ca="1" si="243"/>
        <v>0</v>
      </c>
      <c r="AS59" s="28">
        <f t="shared" ca="1" si="228"/>
        <v>9023.2462375163414</v>
      </c>
      <c r="AT59" s="28">
        <f t="shared" ca="1" si="229"/>
        <v>0</v>
      </c>
      <c r="AU59" s="28">
        <f t="shared" si="244"/>
        <v>1100</v>
      </c>
      <c r="AV59" s="28">
        <f t="shared" si="245"/>
        <v>0</v>
      </c>
      <c r="AW59" s="35">
        <f t="shared" si="246"/>
        <v>0</v>
      </c>
      <c r="AX59" s="35">
        <f t="shared" si="247"/>
        <v>0</v>
      </c>
      <c r="AY59" s="35">
        <f t="shared" si="248"/>
        <v>0</v>
      </c>
      <c r="AZ59" s="35">
        <f t="shared" si="230"/>
        <v>3783.5631705030301</v>
      </c>
      <c r="BA59" s="28">
        <f t="shared" ca="1" si="231"/>
        <v>0</v>
      </c>
      <c r="BB59" s="28"/>
      <c r="BC59" s="35">
        <f t="shared" ref="BC59:BC61" ca="1" si="255">ROUND(SUM(AQ59:BB59),2)</f>
        <v>14706.81</v>
      </c>
      <c r="BD59" s="35">
        <f t="shared" si="249"/>
        <v>14706.80940801937</v>
      </c>
      <c r="BE59" s="36">
        <f t="shared" ca="1" si="233"/>
        <v>1</v>
      </c>
      <c r="BF59" s="35">
        <f>SUMIFS('Fin Forecast'!$R$3:$R$600,'Fin Forecast'!$B$3:$B$600,'Jul17-Jun18 Transport'!$E59,'Fin Forecast'!$C$3:$C$600,'Jul17-Jun18 Transport'!$BF$5)*1000</f>
        <v>0</v>
      </c>
      <c r="BG59" s="35">
        <f>SUMIFS('Fin Forecast'!$R$3:$R$600,'Fin Forecast'!$B$3:$B$600,'Jul17-Jun18 Transport'!$E59,'Fin Forecast'!$C$3:$C$600,'Jul17-Jun18 Transport'!$BG$5)*1000</f>
        <v>0</v>
      </c>
      <c r="BH59" s="35"/>
      <c r="BI59" s="35">
        <f>SUMIFS('Fin Forecast'!$R$3:$R$600,'Fin Forecast'!$B$3:$B$600,'Jul17-Jun18 Transport'!$E59,'Fin Forecast'!$C$3:$C$600,'Jul17-Jun18 Transport'!$BI$5)*1000</f>
        <v>0</v>
      </c>
      <c r="BJ59" s="35">
        <f>SUMIFS('Fin Forecast'!$R$3:$R$600,'Fin Forecast'!$B$3:$B$600,'Jul17-Jun18 Transport'!$E59,'Fin Forecast'!$C$3:$C$600,'Jul17-Jun18 Transport'!$BJ$5)*1000</f>
        <v>1100</v>
      </c>
      <c r="BK59" s="35">
        <f>SUMIFS('Fin Forecast'!$R$3:$R$600,'Fin Forecast'!$B$3:$B$600,'Jul17-Jun18 Transport'!$E59,'Fin Forecast'!$C$3:$C$600,'Jul17-Jun18 Transport'!$BK$5)*1000</f>
        <v>800</v>
      </c>
      <c r="BL59" s="35">
        <f>SUMIFS('Fin Forecast'!$R$3:$R$600,'Fin Forecast'!$B$3:$B$600,'Jul17-Jun18 Transport'!$E59,'Fin Forecast'!$C$3:$C$600,'Jul17-Jun18 Transport'!$BL$5)*1000</f>
        <v>9023.2462375163395</v>
      </c>
      <c r="BM59" s="35">
        <f>SUMIFS('Fin Forecast'!$R$3:$R$600,'Fin Forecast'!$B$3:$B$600,'Jul17-Jun18 Transport'!$E59,'Fin Forecast'!$C$3:$C$600,'Jul17-Jun18 Transport'!$BM$5)*1000</f>
        <v>0</v>
      </c>
      <c r="BN59" s="35">
        <f>SUMIFS('Fin Forecast'!$R$3:$R$600,'Fin Forecast'!$B$3:$B$600,'Jul17-Jun18 Transport'!$E59,'Fin Forecast'!$C$3:$C$600,'Jul17-Jun18 Transport'!$BN$5)*1000</f>
        <v>3783.5631705030301</v>
      </c>
      <c r="BP59" s="44">
        <f t="shared" ca="1" si="234"/>
        <v>5.9198062990617473E-4</v>
      </c>
      <c r="BR59" s="49">
        <f t="shared" ca="1" si="235"/>
        <v>0</v>
      </c>
      <c r="BS59" s="49">
        <f t="shared" ca="1" si="236"/>
        <v>0</v>
      </c>
      <c r="BT59" s="49">
        <f t="shared" si="237"/>
        <v>0</v>
      </c>
    </row>
    <row r="60" spans="1:72" ht="15" x14ac:dyDescent="0.25">
      <c r="C60" s="6">
        <f t="shared" si="250"/>
        <v>47</v>
      </c>
      <c r="D60" s="361">
        <f t="shared" si="251"/>
        <v>43132</v>
      </c>
      <c r="E60" s="361" t="s">
        <v>51</v>
      </c>
      <c r="F60" s="6" t="str">
        <f t="shared" si="238"/>
        <v>997</v>
      </c>
      <c r="G60" s="6" t="str">
        <f>VLOOKUP(E60,'Retail Rates'!$B$7:$D$34,3,FALSE)</f>
        <v>SPC-P</v>
      </c>
      <c r="H60" s="25">
        <f>SUMIF('Forcasted Customer Cts'!$D$5:$D$36,'Jul17-Jun18 Transport'!$E60,'Forcasted Customer Cts'!$W$5:$W$36)</f>
        <v>0</v>
      </c>
      <c r="I60" s="25"/>
      <c r="J60" s="25"/>
      <c r="K60" s="25">
        <f>SUMIF('Forecasted Calendar Month Usage'!$D$5:$D$41,'Jul17-Jun18 Transport'!$E60,'Forecasted Calendar Month Usage'!$AE$5:$AE$41)</f>
        <v>0</v>
      </c>
      <c r="L60" s="25"/>
      <c r="M60" s="25"/>
      <c r="N60" s="25"/>
      <c r="O60" s="26">
        <f>VLOOKUP($E60,'Retail Rates'!$B$7:$L$34,5,FALSE)</f>
        <v>800</v>
      </c>
      <c r="P60" s="26">
        <f>VLOOKUP($E60,'Retail Rates'!$B$7:$L$34,6,FALSE)</f>
        <v>0</v>
      </c>
      <c r="Q60" s="26">
        <f>VLOOKUP($E60,'Retail Rates'!$B$7:$L$34,9,FALSE)</f>
        <v>0</v>
      </c>
      <c r="R60" s="27">
        <f>VLOOKUP($E60,'Retail Rates'!$B$7:$L$34,7,FALSE)</f>
        <v>4.9699999999999996E-3</v>
      </c>
      <c r="S60" s="27">
        <f>VLOOKUP($E60,'Retail Rates'!$B$7:$L$34,8,FALSE)</f>
        <v>0</v>
      </c>
      <c r="T60" s="309">
        <v>0</v>
      </c>
      <c r="U60" s="403">
        <f>VLOOKUP($E60,'Retail Rates'!$B$7:$L$34,11,FALSE)</f>
        <v>0.24801000000000001</v>
      </c>
      <c r="V60" s="27"/>
      <c r="W60" s="309"/>
      <c r="X60" s="28">
        <f t="shared" si="252"/>
        <v>0</v>
      </c>
      <c r="Y60" s="28">
        <f t="shared" si="239"/>
        <v>0</v>
      </c>
      <c r="Z60" s="28">
        <f t="shared" si="253"/>
        <v>0</v>
      </c>
      <c r="AA60" s="28">
        <f t="shared" si="225"/>
        <v>0</v>
      </c>
      <c r="AB60" s="28">
        <f t="shared" si="240"/>
        <v>0</v>
      </c>
      <c r="AC60" s="28">
        <f t="shared" si="241"/>
        <v>0</v>
      </c>
      <c r="AD60" s="28">
        <f t="shared" si="254"/>
        <v>0</v>
      </c>
      <c r="AE60" s="28"/>
      <c r="AF60" s="28">
        <f t="shared" si="226"/>
        <v>0</v>
      </c>
      <c r="AG60" s="28"/>
      <c r="AH60" s="48">
        <f ca="1">SUMIFS(Adjustments!H$5:H$557,Adjustments!$B$5:$B$557,'Jul17-Jun18 Retail'!#REF!,Adjustments!$C$5:$C$557,'Jul17-Jun18 Retail'!#REF!)</f>
        <v>0</v>
      </c>
      <c r="AI60" s="48">
        <f ca="1">SUMIFS(Adjustments!I$5:I$557,Adjustments!$B$5:$B$557,'Jul17-Jun18 Retail'!#REF!,Adjustments!$C$5:$C$557,'Jul17-Jun18 Retail'!#REF!)</f>
        <v>0</v>
      </c>
      <c r="AJ60" s="40">
        <f ca="1">SUMIFS(Adjustments!J$5:J$557,Adjustments!$B$5:$B$557,'Jul17-Jun18 Retail'!#REF!,Adjustments!$C$5:$C$557,'Jul17-Jun18 Retail'!#REF!)</f>
        <v>0</v>
      </c>
      <c r="AK60" s="40">
        <f ca="1">SUMIFS(Adjustments!K$5:K$557,Adjustments!$B$5:$B$557,'Jul17-Jun18 Retail'!#REF!,Adjustments!$C$5:$C$557,'Jul17-Jun18 Retail'!#REF!)</f>
        <v>0</v>
      </c>
      <c r="AL60" s="40">
        <f ca="1">SUMIFS(Adjustments!L$5:L$557,Adjustments!$B$5:$B$557,'Jul17-Jun18 Retail'!#REF!,Adjustments!$C$5:$C$557,'Jul17-Jun18 Retail'!#REF!)</f>
        <v>0</v>
      </c>
      <c r="AM60" s="40">
        <f ca="1">SUMIFS(Adjustments!M$5:M$557,Adjustments!$B$5:$B$557,'Jul17-Jun18 Retail'!#REF!,Adjustments!$C$5:$C$557,'Jul17-Jun18 Retail'!#REF!)</f>
        <v>0</v>
      </c>
      <c r="AN60" s="40">
        <f ca="1">SUMIFS(Adjustments!N$5:N$557,Adjustments!$B$5:$B$557,'Jul17-Jun18 Retail'!#REF!,Adjustments!$C$5:$C$557,'Jul17-Jun18 Retail'!#REF!)</f>
        <v>0</v>
      </c>
      <c r="AO60" s="40">
        <f ca="1">SUMIFS(Adjustments!O$5:O$557,Adjustments!$B$5:$B$557,'Jul17-Jun18 Retail'!#REF!,Adjustments!$C$5:$C$557,'Jul17-Jun18 Retail'!#REF!)</f>
        <v>0</v>
      </c>
      <c r="AP60" s="40">
        <f ca="1">SUMIFS(Adjustments!P$5:P$557,Adjustments!$B$5:$B$557,'Jul17-Jun18 Retail'!#REF!,Adjustments!$C$5:$C$557,'Jul17-Jun18 Retail'!#REF!)</f>
        <v>0</v>
      </c>
      <c r="AQ60" s="28">
        <f t="shared" ca="1" si="227"/>
        <v>0</v>
      </c>
      <c r="AR60" s="28">
        <f t="shared" ca="1" si="243"/>
        <v>0</v>
      </c>
      <c r="AS60" s="28">
        <f t="shared" ca="1" si="228"/>
        <v>0</v>
      </c>
      <c r="AT60" s="28">
        <f t="shared" ca="1" si="229"/>
        <v>0</v>
      </c>
      <c r="AU60" s="28">
        <f t="shared" si="244"/>
        <v>0</v>
      </c>
      <c r="AV60" s="28">
        <f t="shared" si="245"/>
        <v>0</v>
      </c>
      <c r="AW60" s="35">
        <f t="shared" si="246"/>
        <v>0</v>
      </c>
      <c r="AX60" s="35">
        <f t="shared" si="247"/>
        <v>0</v>
      </c>
      <c r="AY60" s="35">
        <f t="shared" si="248"/>
        <v>0</v>
      </c>
      <c r="AZ60" s="35">
        <f t="shared" si="230"/>
        <v>0</v>
      </c>
      <c r="BA60" s="28">
        <f t="shared" ca="1" si="231"/>
        <v>0</v>
      </c>
      <c r="BB60" s="28"/>
      <c r="BC60" s="35">
        <f t="shared" ca="1" si="255"/>
        <v>0</v>
      </c>
      <c r="BD60" s="35">
        <f t="shared" si="249"/>
        <v>0</v>
      </c>
      <c r="BE60" s="36">
        <f t="shared" si="233"/>
        <v>0</v>
      </c>
      <c r="BF60" s="35">
        <f>SUMIFS('Fin Forecast'!$R$3:$R$600,'Fin Forecast'!$B$3:$B$600,'Jul17-Jun18 Transport'!$E60,'Fin Forecast'!$C$3:$C$600,'Jul17-Jun18 Transport'!$BF$5)*1000</f>
        <v>0</v>
      </c>
      <c r="BG60" s="35">
        <f>SUMIFS('Fin Forecast'!$R$3:$R$600,'Fin Forecast'!$B$3:$B$600,'Jul17-Jun18 Transport'!$E60,'Fin Forecast'!$C$3:$C$600,'Jul17-Jun18 Transport'!$BG$5)*1000</f>
        <v>0</v>
      </c>
      <c r="BH60" s="35"/>
      <c r="BI60" s="35">
        <f>SUMIFS('Fin Forecast'!$R$3:$R$600,'Fin Forecast'!$B$3:$B$600,'Jul17-Jun18 Transport'!$E60,'Fin Forecast'!$C$3:$C$600,'Jul17-Jun18 Transport'!$BI$5)*1000</f>
        <v>0</v>
      </c>
      <c r="BJ60" s="35">
        <f>SUMIFS('Fin Forecast'!$R$3:$R$600,'Fin Forecast'!$B$3:$B$600,'Jul17-Jun18 Transport'!$E60,'Fin Forecast'!$C$3:$C$600,'Jul17-Jun18 Transport'!$BJ$5)*1000</f>
        <v>0</v>
      </c>
      <c r="BK60" s="35">
        <f>SUMIFS('Fin Forecast'!$R$3:$R$600,'Fin Forecast'!$B$3:$B$600,'Jul17-Jun18 Transport'!$E60,'Fin Forecast'!$C$3:$C$600,'Jul17-Jun18 Transport'!$BK$5)*1000</f>
        <v>0</v>
      </c>
      <c r="BL60" s="35">
        <f>SUMIFS('Fin Forecast'!$R$3:$R$600,'Fin Forecast'!$B$3:$B$600,'Jul17-Jun18 Transport'!$E60,'Fin Forecast'!$C$3:$C$600,'Jul17-Jun18 Transport'!$BL$5)*1000</f>
        <v>0</v>
      </c>
      <c r="BM60" s="35">
        <f>SUMIFS('Fin Forecast'!$R$3:$R$600,'Fin Forecast'!$B$3:$B$600,'Jul17-Jun18 Transport'!$E60,'Fin Forecast'!$C$3:$C$600,'Jul17-Jun18 Transport'!$BM$5)*1000</f>
        <v>0</v>
      </c>
      <c r="BN60" s="35">
        <f>SUMIFS('Fin Forecast'!$R$3:$R$600,'Fin Forecast'!$B$3:$B$600,'Jul17-Jun18 Transport'!$E60,'Fin Forecast'!$C$3:$C$600,'Jul17-Jun18 Transport'!$BN$5)*1000</f>
        <v>0</v>
      </c>
      <c r="BP60" s="44">
        <f t="shared" ca="1" si="234"/>
        <v>0</v>
      </c>
      <c r="BR60" s="49">
        <f t="shared" ca="1" si="235"/>
        <v>0</v>
      </c>
      <c r="BS60" s="49">
        <f t="shared" ca="1" si="236"/>
        <v>0</v>
      </c>
      <c r="BT60" s="49">
        <f t="shared" si="237"/>
        <v>0</v>
      </c>
    </row>
    <row r="61" spans="1:72" ht="15" x14ac:dyDescent="0.25">
      <c r="A61" s="304"/>
      <c r="C61" s="6">
        <f t="shared" si="250"/>
        <v>48</v>
      </c>
      <c r="D61" s="361">
        <f t="shared" si="251"/>
        <v>43132</v>
      </c>
      <c r="E61" s="361" t="s">
        <v>34</v>
      </c>
      <c r="F61" s="6" t="str">
        <f t="shared" si="238"/>
        <v>996</v>
      </c>
      <c r="G61" s="6" t="s">
        <v>754</v>
      </c>
      <c r="H61" s="25">
        <f>SUMIF('Forcasted Customer Cts'!$D$5:$D$36,'Jul17-Jun18 Transport'!$E61,'Forcasted Customer Cts'!$W$5:$W$36)</f>
        <v>1</v>
      </c>
      <c r="I61" s="25"/>
      <c r="J61" s="25"/>
      <c r="K61" s="25">
        <f>SUMIF('Forecasted Calendar Month Usage'!$D$5:$D$41,'Jul17-Jun18 Transport'!$E61,'Forecasted Calendar Month Usage'!$AE$5:$AE$41)*10</f>
        <v>113389.99999999999</v>
      </c>
      <c r="L61" s="25"/>
      <c r="M61" s="25"/>
      <c r="N61" s="25">
        <f>16560*10</f>
        <v>165600</v>
      </c>
      <c r="O61" s="26">
        <f>VLOOKUP($E61,'Retail Rates'!$B$7:$L$34,5,FALSE)</f>
        <v>180</v>
      </c>
      <c r="P61" s="26">
        <f>VLOOKUP($E61,'Retail Rates'!$B$7:$L$34,6,FALSE)</f>
        <v>0</v>
      </c>
      <c r="Q61" s="26">
        <f>VLOOKUP($E61,'Retail Rates'!$B$7:$L$34,9,FALSE)</f>
        <v>0</v>
      </c>
      <c r="R61" s="27">
        <f>VLOOKUP($E61,'Retail Rates'!$B$7:$L$34,7,FALSE)</f>
        <v>3.329E-2</v>
      </c>
      <c r="S61" s="27">
        <f>VLOOKUP($E61,'Retail Rates'!$B$7:$L$34,8,FALSE)</f>
        <v>0</v>
      </c>
      <c r="T61" s="309">
        <v>0</v>
      </c>
      <c r="U61" s="403">
        <f>VLOOKUP($E61,'Retail Rates'!$B$7:$L$34,11,FALSE)</f>
        <v>1.12629</v>
      </c>
      <c r="V61" s="27"/>
      <c r="W61" s="309"/>
      <c r="X61" s="28">
        <f t="shared" si="252"/>
        <v>180</v>
      </c>
      <c r="Y61" s="28">
        <f t="shared" si="239"/>
        <v>0</v>
      </c>
      <c r="Z61" s="28">
        <f t="shared" si="253"/>
        <v>0</v>
      </c>
      <c r="AA61" s="28">
        <f t="shared" si="225"/>
        <v>3774.7530999999994</v>
      </c>
      <c r="AB61" s="28">
        <f t="shared" si="240"/>
        <v>0</v>
      </c>
      <c r="AC61" s="28">
        <f t="shared" si="241"/>
        <v>0</v>
      </c>
      <c r="AD61" s="28">
        <f t="shared" si="254"/>
        <v>0</v>
      </c>
      <c r="AE61" s="28"/>
      <c r="AF61" s="28">
        <f>N61*U61</f>
        <v>186513.62400000001</v>
      </c>
      <c r="AG61" s="28"/>
      <c r="AH61" s="48">
        <f ca="1">SUMIFS(Adjustments!H$5:H$557,Adjustments!$B$5:$B$557,'Jul17-Jun18 Retail'!$D59,Adjustments!$C$5:$C$557,'Jul17-Jun18 Retail'!$E59)</f>
        <v>0</v>
      </c>
      <c r="AI61" s="48">
        <f ca="1">SUMIFS(Adjustments!I$5:I$557,Adjustments!$B$5:$B$557,'Jul17-Jun18 Retail'!$D59,Adjustments!$C$5:$C$557,'Jul17-Jun18 Retail'!$E59)</f>
        <v>0</v>
      </c>
      <c r="AJ61" s="40">
        <f ca="1">SUMIFS(Adjustments!J$5:J$557,Adjustments!$B$5:$B$557,'Jul17-Jun18 Retail'!$D59,Adjustments!$C$5:$C$557,'Jul17-Jun18 Retail'!$E59)</f>
        <v>0</v>
      </c>
      <c r="AK61" s="40">
        <f ca="1">SUMIFS(Adjustments!K$5:K$557,Adjustments!$B$5:$B$557,'Jul17-Jun18 Retail'!$D59,Adjustments!$C$5:$C$557,'Jul17-Jun18 Retail'!$E59)</f>
        <v>0</v>
      </c>
      <c r="AL61" s="40">
        <f ca="1">SUMIFS(Adjustments!L$5:L$557,Adjustments!$B$5:$B$557,'Jul17-Jun18 Retail'!$D59,Adjustments!$C$5:$C$557,'Jul17-Jun18 Retail'!$E59)</f>
        <v>0</v>
      </c>
      <c r="AM61" s="40">
        <f ca="1">SUMIFS(Adjustments!M$5:M$557,Adjustments!$B$5:$B$557,'Jul17-Jun18 Retail'!$D59,Adjustments!$C$5:$C$557,'Jul17-Jun18 Retail'!$E59)</f>
        <v>0</v>
      </c>
      <c r="AN61" s="40">
        <f ca="1">SUMIFS(Adjustments!N$5:N$557,Adjustments!$B$5:$B$557,'Jul17-Jun18 Retail'!$D59,Adjustments!$C$5:$C$557,'Jul17-Jun18 Retail'!$E59)</f>
        <v>0</v>
      </c>
      <c r="AO61" s="40">
        <f ca="1">SUMIFS(Adjustments!O$5:O$557,Adjustments!$B$5:$B$557,'Jul17-Jun18 Retail'!$D59,Adjustments!$C$5:$C$557,'Jul17-Jun18 Retail'!$E59)</f>
        <v>0</v>
      </c>
      <c r="AP61" s="40">
        <f ca="1">SUMIFS(Adjustments!P$5:P$557,Adjustments!$B$5:$B$557,'Jul17-Jun18 Retail'!$D59,Adjustments!$C$5:$C$557,'Jul17-Jun18 Retail'!$E59)</f>
        <v>0</v>
      </c>
      <c r="AQ61" s="28">
        <f t="shared" ca="1" si="227"/>
        <v>180</v>
      </c>
      <c r="AR61" s="28">
        <f t="shared" ca="1" si="243"/>
        <v>0</v>
      </c>
      <c r="AS61" s="28">
        <f t="shared" ca="1" si="228"/>
        <v>3774.7530999999994</v>
      </c>
      <c r="AT61" s="28">
        <f t="shared" ca="1" si="229"/>
        <v>0</v>
      </c>
      <c r="AU61" s="28">
        <f t="shared" si="244"/>
        <v>0</v>
      </c>
      <c r="AV61" s="28">
        <f t="shared" si="245"/>
        <v>0</v>
      </c>
      <c r="AW61" s="35">
        <f t="shared" si="246"/>
        <v>52870.450075109402</v>
      </c>
      <c r="AX61" s="35">
        <f t="shared" si="247"/>
        <v>0</v>
      </c>
      <c r="AY61" s="35">
        <f t="shared" si="248"/>
        <v>0</v>
      </c>
      <c r="AZ61" s="35">
        <f t="shared" si="230"/>
        <v>0</v>
      </c>
      <c r="BA61" s="28">
        <f t="shared" ca="1" si="231"/>
        <v>186513.62400000001</v>
      </c>
      <c r="BB61" s="28"/>
      <c r="BC61" s="35">
        <f t="shared" ca="1" si="255"/>
        <v>243338.83</v>
      </c>
      <c r="BD61" s="35">
        <f t="shared" si="249"/>
        <v>243338.82717510939</v>
      </c>
      <c r="BE61" s="36">
        <f t="shared" ca="1" si="233"/>
        <v>1</v>
      </c>
      <c r="BF61" s="35">
        <f>SUMIFS('Fin Forecast'!$R$3:$R$600,'Fin Forecast'!$B$3:$B$600,'Jul17-Jun18 Transport'!$E61,'Fin Forecast'!$C$3:$C$600,'Jul17-Jun18 Transport'!$BF$5)*1000</f>
        <v>0</v>
      </c>
      <c r="BG61" s="35">
        <f>SUMIFS('Fin Forecast'!$R$3:$R$600,'Fin Forecast'!$B$3:$B$600,'Jul17-Jun18 Transport'!$E61,'Fin Forecast'!$C$3:$C$600,'Jul17-Jun18 Transport'!$BG$5)*1000</f>
        <v>52870.450075109402</v>
      </c>
      <c r="BH61" s="35"/>
      <c r="BI61" s="35">
        <f>SUMIFS('Fin Forecast'!$R$3:$R$600,'Fin Forecast'!$B$3:$B$600,'Jul17-Jun18 Transport'!$E61,'Fin Forecast'!$C$3:$C$600,'Jul17-Jun18 Transport'!$BI$5)*1000</f>
        <v>0</v>
      </c>
      <c r="BJ61" s="35">
        <f>SUMIFS('Fin Forecast'!$R$3:$R$600,'Fin Forecast'!$B$3:$B$600,'Jul17-Jun18 Transport'!$E61,'Fin Forecast'!$C$3:$C$600,'Jul17-Jun18 Transport'!$BJ$5)*1000</f>
        <v>0</v>
      </c>
      <c r="BK61" s="35">
        <f>SUMIFS('Fin Forecast'!$R$3:$R$600,'Fin Forecast'!$B$3:$B$600,'Jul17-Jun18 Transport'!$E61,'Fin Forecast'!$C$3:$C$600,'Jul17-Jun18 Transport'!$BK$5)*1000</f>
        <v>180</v>
      </c>
      <c r="BL61" s="35">
        <f>SUMIFS('Fin Forecast'!$R$3:$R$600,'Fin Forecast'!$B$3:$B$600,'Jul17-Jun18 Transport'!$E61,'Fin Forecast'!$C$3:$C$600,'Jul17-Jun18 Transport'!$BL$5)*1000</f>
        <v>3774.7530999999999</v>
      </c>
      <c r="BM61" s="35">
        <f>SUMIFS('Fin Forecast'!$R$3:$R$600,'Fin Forecast'!$B$3:$B$600,'Jul17-Jun18 Transport'!$E61,'Fin Forecast'!$C$3:$C$600,'Jul17-Jun18 Transport'!$BM$5)*1000</f>
        <v>186513.62399999998</v>
      </c>
      <c r="BN61" s="35">
        <f>SUMIFS('Fin Forecast'!$R$3:$R$600,'Fin Forecast'!$B$3:$B$600,'Jul17-Jun18 Transport'!$E61,'Fin Forecast'!$C$3:$C$600,'Jul17-Jun18 Transport'!$BN$5)*1000</f>
        <v>0</v>
      </c>
      <c r="BP61" s="44">
        <f t="shared" ca="1" si="234"/>
        <v>2.824890601914376E-3</v>
      </c>
      <c r="BR61" s="49">
        <f t="shared" ca="1" si="235"/>
        <v>0</v>
      </c>
      <c r="BS61" s="49">
        <f t="shared" ca="1" si="236"/>
        <v>0</v>
      </c>
      <c r="BT61" s="49">
        <f t="shared" si="237"/>
        <v>0</v>
      </c>
    </row>
    <row r="62" spans="1:72" s="323" customFormat="1" ht="15" x14ac:dyDescent="0.25">
      <c r="C62" s="324"/>
      <c r="D62" s="362"/>
      <c r="E62" s="362"/>
      <c r="F62" s="324"/>
      <c r="G62" s="324"/>
      <c r="H62" s="325"/>
      <c r="O62" s="326"/>
      <c r="P62" s="326"/>
      <c r="Q62" s="327"/>
      <c r="R62" s="327"/>
      <c r="S62" s="327"/>
      <c r="T62" s="326"/>
      <c r="U62" s="327"/>
      <c r="V62" s="327"/>
      <c r="W62" s="328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30"/>
      <c r="AI62" s="330"/>
      <c r="AJ62" s="329"/>
      <c r="AK62" s="329"/>
      <c r="AL62" s="329"/>
      <c r="AM62" s="329"/>
      <c r="AN62" s="329"/>
      <c r="AO62" s="329"/>
      <c r="AP62" s="329"/>
      <c r="AQ62" s="341"/>
      <c r="AR62" s="341"/>
      <c r="AS62" s="341"/>
      <c r="AT62" s="341"/>
      <c r="AU62" s="341"/>
      <c r="AV62" s="341"/>
      <c r="AW62" s="329"/>
      <c r="AX62" s="329"/>
      <c r="AY62" s="329"/>
      <c r="AZ62" s="329"/>
      <c r="BA62" s="329"/>
      <c r="BB62" s="329"/>
      <c r="BC62" s="329"/>
      <c r="BD62" s="329">
        <f>SUM(BD56:BD61)</f>
        <v>993448.27369004546</v>
      </c>
      <c r="BE62" s="331"/>
      <c r="BF62" s="341"/>
      <c r="BG62" s="341"/>
      <c r="BH62" s="341"/>
      <c r="BI62" s="341"/>
      <c r="BJ62" s="341"/>
      <c r="BK62" s="341"/>
      <c r="BL62" s="341"/>
      <c r="BM62" s="341"/>
      <c r="BN62" s="341"/>
      <c r="BP62" s="329"/>
      <c r="BR62" s="329"/>
      <c r="BS62" s="329"/>
      <c r="BT62" s="329"/>
    </row>
    <row r="63" spans="1:72" ht="15" x14ac:dyDescent="0.25">
      <c r="C63" s="6">
        <f>C61+1</f>
        <v>49</v>
      </c>
      <c r="D63" s="361">
        <f>EDATE(D56,1)</f>
        <v>43160</v>
      </c>
      <c r="E63" s="361" t="s">
        <v>41</v>
      </c>
      <c r="F63" s="6" t="str">
        <f>MID(E63,6,3)</f>
        <v>895</v>
      </c>
      <c r="G63" s="6" t="str">
        <f>VLOOKUP(E63,'Retail Rates'!$B$7:$D$34,3,FALSE)</f>
        <v>FT-C</v>
      </c>
      <c r="H63" s="25">
        <f>SUMIF('Forcasted Customer Cts'!$D$5:$D$36,'Jul17-Jun18 Transport'!$E63,'Forcasted Customer Cts'!$X$5:$X$36)</f>
        <v>73</v>
      </c>
      <c r="I63" s="25"/>
      <c r="J63" s="25"/>
      <c r="K63" s="25">
        <f>SUMIF('Forecasted Calendar Month Usage'!$D$5:$D$41,'Jul17-Jun18 Transport'!$E63,'Forecasted Calendar Month Usage'!$AF$5:$AF$41)*10</f>
        <v>10548790.468900373</v>
      </c>
      <c r="L63" s="25"/>
      <c r="M63" s="25">
        <v>69</v>
      </c>
      <c r="N63" s="25"/>
      <c r="O63" s="26">
        <f>VLOOKUP($E63,'Retail Rates'!$B$7:$L$34,5,FALSE)</f>
        <v>0</v>
      </c>
      <c r="P63" s="26">
        <f>VLOOKUP($E63,'Retail Rates'!$B$7:$L$34,6,FALSE)</f>
        <v>0</v>
      </c>
      <c r="Q63" s="26">
        <f>VLOOKUP($E63,'Retail Rates'!$B$7:$L$34,9,FALSE)</f>
        <v>550</v>
      </c>
      <c r="R63" s="27">
        <f>VLOOKUP($E63,'Retail Rates'!$B$7:$L$34,7,FALSE)</f>
        <v>4.3020000000000003E-2</v>
      </c>
      <c r="S63" s="27">
        <f>VLOOKUP($E63,'Retail Rates'!$B$7:$L$34,8,FALSE)</f>
        <v>0</v>
      </c>
      <c r="T63" s="309">
        <v>75</v>
      </c>
      <c r="U63" s="26">
        <f>VLOOKUP($E63,'Retail Rates'!$B$7:$L$34,11,FALSE)</f>
        <v>0</v>
      </c>
      <c r="V63" s="27"/>
      <c r="W63" s="309"/>
      <c r="X63" s="28">
        <f t="shared" ref="X63:X64" si="256">(+H63*O63)+(I63*O63)</f>
        <v>0</v>
      </c>
      <c r="Y63" s="28">
        <f>J63*P63</f>
        <v>0</v>
      </c>
      <c r="Z63" s="28">
        <f>H63*Q63</f>
        <v>40150</v>
      </c>
      <c r="AA63" s="28">
        <f t="shared" ref="AA63:AA68" si="257">+K63*R63</f>
        <v>453808.9659720941</v>
      </c>
      <c r="AB63" s="28">
        <f>+L63*S63</f>
        <v>0</v>
      </c>
      <c r="AC63" s="28">
        <f>M63*T63</f>
        <v>5175</v>
      </c>
      <c r="AD63" s="28">
        <f>H63*V63</f>
        <v>0</v>
      </c>
      <c r="AE63" s="28"/>
      <c r="AF63" s="28">
        <f t="shared" ref="AF63:AF67" si="258">N63*U63</f>
        <v>0</v>
      </c>
      <c r="AG63" s="28"/>
      <c r="AH63" s="48">
        <f ca="1">SUMIFS(Adjustments!H$5:H$557,Adjustments!$B$5:$B$557,'Jul17-Jun18 Retail'!$D63,Adjustments!$C$5:$C$557,'Jul17-Jun18 Retail'!$E63)</f>
        <v>0</v>
      </c>
      <c r="AI63" s="48">
        <f ca="1">SUMIFS(Adjustments!I$5:I$557,Adjustments!$B$5:$B$557,'Jul17-Jun18 Retail'!$D63,Adjustments!$C$5:$C$557,'Jul17-Jun18 Retail'!$E63)</f>
        <v>0</v>
      </c>
      <c r="AJ63" s="40">
        <f ca="1">SUMIFS(Adjustments!J$5:J$557,Adjustments!$B$5:$B$557,'Jul17-Jun18 Retail'!$D63,Adjustments!$C$5:$C$557,'Jul17-Jun18 Retail'!$E63)</f>
        <v>0</v>
      </c>
      <c r="AK63" s="40">
        <f ca="1">SUMIFS(Adjustments!K$5:K$557,Adjustments!$B$5:$B$557,'Jul17-Jun18 Retail'!$D63,Adjustments!$C$5:$C$557,'Jul17-Jun18 Retail'!$E63)</f>
        <v>0</v>
      </c>
      <c r="AL63" s="40">
        <f ca="1">SUMIFS(Adjustments!L$5:L$557,Adjustments!$B$5:$B$557,'Jul17-Jun18 Retail'!$D63,Adjustments!$C$5:$C$557,'Jul17-Jun18 Retail'!$E63)</f>
        <v>0</v>
      </c>
      <c r="AM63" s="40">
        <f ca="1">SUMIFS(Adjustments!M$5:M$557,Adjustments!$B$5:$B$557,'Jul17-Jun18 Retail'!$D63,Adjustments!$C$5:$C$557,'Jul17-Jun18 Retail'!$E63)</f>
        <v>0</v>
      </c>
      <c r="AN63" s="40">
        <f ca="1">SUMIFS(Adjustments!N$5:N$557,Adjustments!$B$5:$B$557,'Jul17-Jun18 Retail'!$D63,Adjustments!$C$5:$C$557,'Jul17-Jun18 Retail'!$E63)</f>
        <v>0</v>
      </c>
      <c r="AO63" s="40">
        <f ca="1">SUMIFS(Adjustments!O$5:O$557,Adjustments!$B$5:$B$557,'Jul17-Jun18 Retail'!$D63,Adjustments!$C$5:$C$557,'Jul17-Jun18 Retail'!$E63)</f>
        <v>0</v>
      </c>
      <c r="AP63" s="40">
        <f ca="1">SUMIFS(Adjustments!P$5:P$557,Adjustments!$B$5:$B$557,'Jul17-Jun18 Retail'!$D63,Adjustments!$C$5:$C$557,'Jul17-Jun18 Retail'!$E63)</f>
        <v>0</v>
      </c>
      <c r="AQ63" s="28">
        <f t="shared" ref="AQ63:AQ68" ca="1" si="259">+X63+AJ63+(AH63*O63)</f>
        <v>0</v>
      </c>
      <c r="AR63" s="28">
        <f ca="1">+Y63+AK63</f>
        <v>0</v>
      </c>
      <c r="AS63" s="28">
        <f t="shared" ref="AS63:AS68" ca="1" si="260">+AA63+AL63</f>
        <v>453808.9659720941</v>
      </c>
      <c r="AT63" s="28">
        <f t="shared" ref="AT63:AT68" ca="1" si="261">+AB63+AM63</f>
        <v>0</v>
      </c>
      <c r="AU63" s="28">
        <f>Z63</f>
        <v>40150</v>
      </c>
      <c r="AV63" s="28">
        <f>AC63</f>
        <v>5175</v>
      </c>
      <c r="AW63" s="35">
        <f>BG63</f>
        <v>0</v>
      </c>
      <c r="AX63" s="35">
        <f>BF63</f>
        <v>115937.0471425414</v>
      </c>
      <c r="AY63" s="35">
        <f>BH63</f>
        <v>0</v>
      </c>
      <c r="AZ63" s="35">
        <f t="shared" ref="AZ63:AZ68" si="262">BN63</f>
        <v>0</v>
      </c>
      <c r="BA63" s="28">
        <f t="shared" ref="BA63:BA68" ca="1" si="263">+AF63+AP63</f>
        <v>0</v>
      </c>
      <c r="BB63" s="28"/>
      <c r="BC63" s="35">
        <f t="shared" ref="BC63:BC64" ca="1" si="264">ROUND(SUM(AQ63:BB63),2)</f>
        <v>615071.01</v>
      </c>
      <c r="BD63" s="35">
        <f>SUM(BF63:BN63)</f>
        <v>615071.01312666433</v>
      </c>
      <c r="BE63" s="36">
        <f t="shared" ref="BE63:BE68" ca="1" si="265">IF(BD63=0,0,ROUND(BD63/BC63,6))</f>
        <v>1</v>
      </c>
      <c r="BF63" s="35">
        <f>SUMIFS('Fin Forecast'!$S$3:$S$600,'Fin Forecast'!$B$3:$B$600,'Jul17-Jun18 Transport'!$E63,'Fin Forecast'!$C$3:$C$600,'Jul17-Jun18 Transport'!$BF$5)*1000</f>
        <v>115937.0471425414</v>
      </c>
      <c r="BG63" s="35">
        <f>SUMIFS('Fin Forecast'!$S$3:$S$600,'Fin Forecast'!$B$3:$B$600,'Jul17-Jun18 Transport'!$E63,'Fin Forecast'!$C$3:$C$600,'Jul17-Jun18 Transport'!$BG$5)*1000</f>
        <v>0</v>
      </c>
      <c r="BH63" s="35"/>
      <c r="BI63" s="35">
        <f>SUMIFS('Fin Forecast'!$S$3:$S$600,'Fin Forecast'!$B$3:$B$600,'Jul17-Jun18 Transport'!$E63,'Fin Forecast'!$C$3:$C$600,'Jul17-Jun18 Transport'!$BI$5)*1000</f>
        <v>5175</v>
      </c>
      <c r="BJ63" s="35">
        <f>SUMIFS('Fin Forecast'!$S$3:$S$600,'Fin Forecast'!$B$3:$B$600,'Jul17-Jun18 Transport'!$E63,'Fin Forecast'!$C$3:$C$600,'Jul17-Jun18 Transport'!$BJ$5)*1000</f>
        <v>40150</v>
      </c>
      <c r="BK63" s="35">
        <f>SUMIFS('Fin Forecast'!$S$3:$S$600,'Fin Forecast'!$B$3:$B$600,'Jul17-Jun18 Transport'!$E63,'Fin Forecast'!$C$3:$C$600,'Jul17-Jun18 Transport'!$BK$5)*1000</f>
        <v>0</v>
      </c>
      <c r="BL63" s="35">
        <f>SUMIFS('Fin Forecast'!$S$3:$S$600,'Fin Forecast'!$B$3:$B$600,'Jul17-Jun18 Transport'!$E63,'Fin Forecast'!$C$3:$C$600,'Jul17-Jun18 Transport'!$BL$5)*1000</f>
        <v>453808.96598412294</v>
      </c>
      <c r="BM63" s="35">
        <f>SUMIFS('Fin Forecast'!$S$3:$S$600,'Fin Forecast'!$B$3:$B$600,'Jul17-Jun18 Transport'!$E63,'Fin Forecast'!$C$3:$C$600,'Jul17-Jun18 Transport'!$BM$5)*1000</f>
        <v>0</v>
      </c>
      <c r="BN63" s="35">
        <f>SUMIFS('Fin Forecast'!$S$3:$S$600,'Fin Forecast'!$B$3:$B$600,'Jul17-Jun18 Transport'!$E63,'Fin Forecast'!$C$3:$C$600,'Jul17-Jun18 Transport'!$BN$5)*1000</f>
        <v>0</v>
      </c>
      <c r="BP63" s="44">
        <f t="shared" ref="BP63:BP68" ca="1" si="266">+BC63-BD63</f>
        <v>-3.1266643200069666E-3</v>
      </c>
      <c r="BR63" s="49">
        <f t="shared" ref="BR63:BR68" ca="1" si="267">+AQ63+AR63-BK63</f>
        <v>0</v>
      </c>
      <c r="BS63" s="49">
        <f t="shared" ref="BS63:BS68" ca="1" si="268">+AS63+AT63-BL63</f>
        <v>-1.2028845958411694E-5</v>
      </c>
      <c r="BT63" s="49">
        <f t="shared" ref="BT63:BT68" si="269">+AW63-BG63</f>
        <v>0</v>
      </c>
    </row>
    <row r="64" spans="1:72" ht="15" x14ac:dyDescent="0.25">
      <c r="C64" s="6">
        <f>C63+1</f>
        <v>50</v>
      </c>
      <c r="D64" s="361">
        <f>$D$63</f>
        <v>43160</v>
      </c>
      <c r="E64" s="361" t="s">
        <v>43</v>
      </c>
      <c r="F64" s="6" t="str">
        <f t="shared" ref="F64:F68" si="270">MID(E64,6,3)</f>
        <v>896</v>
      </c>
      <c r="G64" s="6" t="str">
        <f>VLOOKUP(E64,'Retail Rates'!$B$7:$D$34,3,FALSE)</f>
        <v>FT-I</v>
      </c>
      <c r="H64" s="25">
        <f>SUMIF('Forcasted Customer Cts'!$D$5:$D$36,'Jul17-Jun18 Transport'!$E64,'Forcasted Customer Cts'!$X$5:$X$36)</f>
        <v>0</v>
      </c>
      <c r="I64" s="25"/>
      <c r="J64" s="25"/>
      <c r="K64" s="25">
        <f>SUMIF('Forecasted Calendar Month Usage'!$D$5:$D$41,'Jul17-Jun18 Transport'!$E64,'Forecasted Calendar Month Usage'!$AF$5:$AF$41)*10</f>
        <v>0</v>
      </c>
      <c r="L64" s="25"/>
      <c r="M64" s="25"/>
      <c r="N64" s="25"/>
      <c r="O64" s="26">
        <f>VLOOKUP($E64,'Retail Rates'!$B$7:$L$34,5,FALSE)</f>
        <v>0</v>
      </c>
      <c r="P64" s="26">
        <f>VLOOKUP($E64,'Retail Rates'!$B$7:$L$34,6,FALSE)</f>
        <v>0</v>
      </c>
      <c r="Q64" s="26">
        <f>VLOOKUP($E64,'Retail Rates'!$B$7:$L$34,9,FALSE)</f>
        <v>550</v>
      </c>
      <c r="R64" s="27">
        <f>VLOOKUP($E64,'Retail Rates'!$B$7:$L$34,7,FALSE)</f>
        <v>4.3020000000000003E-2</v>
      </c>
      <c r="S64" s="27">
        <f>VLOOKUP($E64,'Retail Rates'!$B$7:$L$34,8,FALSE)</f>
        <v>0</v>
      </c>
      <c r="T64" s="309">
        <v>75</v>
      </c>
      <c r="U64" s="26">
        <f>VLOOKUP($E64,'Retail Rates'!$B$7:$L$34,11,FALSE)</f>
        <v>0</v>
      </c>
      <c r="V64" s="27"/>
      <c r="W64" s="309"/>
      <c r="X64" s="28">
        <f t="shared" si="256"/>
        <v>0</v>
      </c>
      <c r="Y64" s="28">
        <f t="shared" ref="Y64:Y68" si="271">J64*P64</f>
        <v>0</v>
      </c>
      <c r="Z64" s="28">
        <f>H64*Q64</f>
        <v>0</v>
      </c>
      <c r="AA64" s="28">
        <f t="shared" si="257"/>
        <v>0</v>
      </c>
      <c r="AB64" s="28">
        <f t="shared" ref="AB64:AB68" si="272">+L64*S64</f>
        <v>0</v>
      </c>
      <c r="AC64" s="28">
        <f t="shared" ref="AC64:AC68" si="273">M64*T64</f>
        <v>0</v>
      </c>
      <c r="AD64" s="28">
        <f t="shared" ref="AD64" si="274">H64*V64</f>
        <v>0</v>
      </c>
      <c r="AE64" s="28"/>
      <c r="AF64" s="28">
        <f t="shared" si="258"/>
        <v>0</v>
      </c>
      <c r="AG64" s="28"/>
      <c r="AH64" s="48">
        <f ca="1">SUMIFS(Adjustments!H$5:H$557,Adjustments!$B$5:$B$557,'Jul17-Jun18 Retail'!$D64,Adjustments!$C$5:$C$557,'Jul17-Jun18 Retail'!$E64)</f>
        <v>0</v>
      </c>
      <c r="AI64" s="48">
        <f ca="1">SUMIFS(Adjustments!I$5:I$557,Adjustments!$B$5:$B$557,'Jul17-Jun18 Retail'!$D64,Adjustments!$C$5:$C$557,'Jul17-Jun18 Retail'!$E64)</f>
        <v>0</v>
      </c>
      <c r="AJ64" s="40">
        <f ca="1">SUMIFS(Adjustments!J$5:J$557,Adjustments!$B$5:$B$557,'Jul17-Jun18 Retail'!$D64,Adjustments!$C$5:$C$557,'Jul17-Jun18 Retail'!$E64)</f>
        <v>0</v>
      </c>
      <c r="AK64" s="40">
        <f ca="1">SUMIFS(Adjustments!K$5:K$557,Adjustments!$B$5:$B$557,'Jul17-Jun18 Retail'!$D64,Adjustments!$C$5:$C$557,'Jul17-Jun18 Retail'!$E64)</f>
        <v>0</v>
      </c>
      <c r="AL64" s="40">
        <f ca="1">SUMIFS(Adjustments!L$5:L$557,Adjustments!$B$5:$B$557,'Jul17-Jun18 Retail'!$D64,Adjustments!$C$5:$C$557,'Jul17-Jun18 Retail'!$E64)</f>
        <v>0</v>
      </c>
      <c r="AM64" s="40">
        <f ca="1">SUMIFS(Adjustments!M$5:M$557,Adjustments!$B$5:$B$557,'Jul17-Jun18 Retail'!$D64,Adjustments!$C$5:$C$557,'Jul17-Jun18 Retail'!$E64)</f>
        <v>0</v>
      </c>
      <c r="AN64" s="40">
        <f ca="1">SUMIFS(Adjustments!N$5:N$557,Adjustments!$B$5:$B$557,'Jul17-Jun18 Retail'!$D64,Adjustments!$C$5:$C$557,'Jul17-Jun18 Retail'!$E64)</f>
        <v>0</v>
      </c>
      <c r="AO64" s="40">
        <f ca="1">SUMIFS(Adjustments!O$5:O$557,Adjustments!$B$5:$B$557,'Jul17-Jun18 Retail'!$D64,Adjustments!$C$5:$C$557,'Jul17-Jun18 Retail'!$E64)</f>
        <v>0</v>
      </c>
      <c r="AP64" s="40">
        <f ca="1">SUMIFS(Adjustments!P$5:P$557,Adjustments!$B$5:$B$557,'Jul17-Jun18 Retail'!$D64,Adjustments!$C$5:$C$557,'Jul17-Jun18 Retail'!$E64)</f>
        <v>0</v>
      </c>
      <c r="AQ64" s="28">
        <f t="shared" ca="1" si="259"/>
        <v>0</v>
      </c>
      <c r="AR64" s="28">
        <f t="shared" ref="AR64:AR68" ca="1" si="275">+Y64+AK64</f>
        <v>0</v>
      </c>
      <c r="AS64" s="28">
        <f t="shared" ca="1" si="260"/>
        <v>0</v>
      </c>
      <c r="AT64" s="28">
        <f t="shared" ca="1" si="261"/>
        <v>0</v>
      </c>
      <c r="AU64" s="28">
        <f t="shared" ref="AU64:AU68" si="276">Z64</f>
        <v>0</v>
      </c>
      <c r="AV64" s="28">
        <f t="shared" ref="AV64:AV68" si="277">AC64</f>
        <v>0</v>
      </c>
      <c r="AW64" s="35">
        <f t="shared" ref="AW64:AW68" si="278">BG64</f>
        <v>0</v>
      </c>
      <c r="AX64" s="35">
        <f t="shared" ref="AX64:AX68" si="279">BF64</f>
        <v>0</v>
      </c>
      <c r="AY64" s="35">
        <f t="shared" ref="AY64:AY68" si="280">BH64</f>
        <v>0</v>
      </c>
      <c r="AZ64" s="35">
        <f t="shared" si="262"/>
        <v>0</v>
      </c>
      <c r="BA64" s="28">
        <f t="shared" ca="1" si="263"/>
        <v>0</v>
      </c>
      <c r="BB64" s="28"/>
      <c r="BC64" s="35">
        <f t="shared" ca="1" si="264"/>
        <v>0</v>
      </c>
      <c r="BD64" s="35">
        <f t="shared" ref="BD64:BD68" si="281">SUM(BF64:BN64)</f>
        <v>0</v>
      </c>
      <c r="BE64" s="36">
        <f t="shared" si="265"/>
        <v>0</v>
      </c>
      <c r="BF64" s="35">
        <f>SUMIFS('Fin Forecast'!$S$3:$S$600,'Fin Forecast'!$B$3:$B$600,'Jul17-Jun18 Transport'!$E64,'Fin Forecast'!$C$3:$C$600,'Jul17-Jun18 Transport'!$BF$5)*1000</f>
        <v>0</v>
      </c>
      <c r="BG64" s="35">
        <f>SUMIFS('Fin Forecast'!$S$3:$S$600,'Fin Forecast'!$B$3:$B$600,'Jul17-Jun18 Transport'!$E64,'Fin Forecast'!$C$3:$C$600,'Jul17-Jun18 Transport'!$BG$5)*1000</f>
        <v>0</v>
      </c>
      <c r="BH64" s="35"/>
      <c r="BI64" s="35">
        <f>SUMIFS('Fin Forecast'!$S$3:$S$600,'Fin Forecast'!$B$3:$B$600,'Jul17-Jun18 Transport'!$E64,'Fin Forecast'!$C$3:$C$600,'Jul17-Jun18 Transport'!$BI$5)*1000</f>
        <v>0</v>
      </c>
      <c r="BJ64" s="35">
        <f>SUMIFS('Fin Forecast'!$S$3:$S$600,'Fin Forecast'!$B$3:$B$600,'Jul17-Jun18 Transport'!$E64,'Fin Forecast'!$C$3:$C$600,'Jul17-Jun18 Transport'!$BJ$5)*1000</f>
        <v>0</v>
      </c>
      <c r="BK64" s="35">
        <f>SUMIFS('Fin Forecast'!$S$3:$S$600,'Fin Forecast'!$B$3:$B$600,'Jul17-Jun18 Transport'!$E64,'Fin Forecast'!$C$3:$C$600,'Jul17-Jun18 Transport'!$BK$5)*1000</f>
        <v>0</v>
      </c>
      <c r="BL64" s="35">
        <f>SUMIFS('Fin Forecast'!$S$3:$S$600,'Fin Forecast'!$B$3:$B$600,'Jul17-Jun18 Transport'!$E64,'Fin Forecast'!$C$3:$C$600,'Jul17-Jun18 Transport'!$BL$5)*1000</f>
        <v>0</v>
      </c>
      <c r="BM64" s="35">
        <f>SUMIFS('Fin Forecast'!$S$3:$S$600,'Fin Forecast'!$B$3:$B$600,'Jul17-Jun18 Transport'!$E64,'Fin Forecast'!$C$3:$C$600,'Jul17-Jun18 Transport'!$BM$5)*1000</f>
        <v>0</v>
      </c>
      <c r="BN64" s="35">
        <f>SUMIFS('Fin Forecast'!$S$3:$S$600,'Fin Forecast'!$B$3:$B$600,'Jul17-Jun18 Transport'!$E64,'Fin Forecast'!$C$3:$C$600,'Jul17-Jun18 Transport'!$BN$5)*1000</f>
        <v>0</v>
      </c>
      <c r="BP64" s="44">
        <f t="shared" ca="1" si="266"/>
        <v>0</v>
      </c>
      <c r="BR64" s="49">
        <f t="shared" ca="1" si="267"/>
        <v>0</v>
      </c>
      <c r="BS64" s="49">
        <f t="shared" ca="1" si="268"/>
        <v>0</v>
      </c>
      <c r="BT64" s="49">
        <f t="shared" si="269"/>
        <v>0</v>
      </c>
    </row>
    <row r="65" spans="1:72" ht="15" x14ac:dyDescent="0.25">
      <c r="A65" s="304"/>
      <c r="B65" s="13" t="s">
        <v>444</v>
      </c>
      <c r="C65" s="6">
        <f t="shared" ref="C65:C68" si="282">C64+1</f>
        <v>51</v>
      </c>
      <c r="D65" s="361">
        <f t="shared" ref="D65:D68" si="283">$D$63</f>
        <v>43160</v>
      </c>
      <c r="E65" s="361" t="s">
        <v>31</v>
      </c>
      <c r="F65" s="6" t="str">
        <f t="shared" si="270"/>
        <v>882</v>
      </c>
      <c r="G65" s="6" t="str">
        <f>VLOOKUP(E65,'Retail Rates'!$B$7:$D$34,3,FALSE)</f>
        <v>IGS-TS-2</v>
      </c>
      <c r="H65" s="25"/>
      <c r="I65" s="25"/>
      <c r="J65" s="25">
        <f>SUMIFS('Forcasted Customer Cts'!$X$5:$X$36,'Forcasted Customer Cts'!$D$5:$D$36,$E65,'Forcasted Customer Cts'!$C$5:$C$36,$B65)</f>
        <v>5</v>
      </c>
      <c r="K65" s="25">
        <f>SUMIF('Forecasted Calendar Month Usage'!$D$5:$D$41,'Jul17-Jun18 Transport'!$E65,'Forecasted Calendar Month Usage'!$AF$5:$AF$41)*10</f>
        <v>185022.50969354773</v>
      </c>
      <c r="L65" s="25"/>
      <c r="M65" s="25">
        <v>2</v>
      </c>
      <c r="N65" s="25"/>
      <c r="O65" s="26">
        <f>VLOOKUP($E65,'Retail Rates'!$B$7:$L$34,5,FALSE)</f>
        <v>40</v>
      </c>
      <c r="P65" s="26">
        <f>VLOOKUP($E65,'Retail Rates'!$B$7:$L$34,6,FALSE)</f>
        <v>180</v>
      </c>
      <c r="Q65" s="26">
        <f>VLOOKUP($E65,'Retail Rates'!$B$7:$L$34,9,FALSE)</f>
        <v>550</v>
      </c>
      <c r="R65" s="27">
        <f>VLOOKUP($E65,'Retail Rates'!$B$7:$L$34,7,FALSE)</f>
        <v>0.22778999999999999</v>
      </c>
      <c r="S65" s="27">
        <f>VLOOKUP($E65,'Retail Rates'!$B$7:$L$34,8,FALSE)</f>
        <v>0.17779</v>
      </c>
      <c r="T65" s="309">
        <v>75</v>
      </c>
      <c r="U65" s="26">
        <f>VLOOKUP($E65,'Retail Rates'!$B$7:$L$34,11,FALSE)</f>
        <v>0</v>
      </c>
      <c r="V65" s="309"/>
      <c r="W65" s="309"/>
      <c r="X65" s="28">
        <f>(+H65*O65)+(I65*O65)</f>
        <v>0</v>
      </c>
      <c r="Y65" s="28">
        <f t="shared" si="271"/>
        <v>900</v>
      </c>
      <c r="Z65" s="28">
        <f>(I65+J65)*Q65</f>
        <v>2750</v>
      </c>
      <c r="AA65" s="28">
        <f t="shared" si="257"/>
        <v>42146.277483093239</v>
      </c>
      <c r="AB65" s="28">
        <f t="shared" si="272"/>
        <v>0</v>
      </c>
      <c r="AC65" s="28">
        <f t="shared" si="273"/>
        <v>150</v>
      </c>
      <c r="AD65" s="28">
        <f>(I65+J65)*V65</f>
        <v>0</v>
      </c>
      <c r="AE65" s="28"/>
      <c r="AF65" s="28">
        <f t="shared" si="258"/>
        <v>0</v>
      </c>
      <c r="AG65" s="28"/>
      <c r="AH65" s="48">
        <f ca="1">SUMIFS(Adjustments!H$5:H$557,Adjustments!$B$5:$B$557,'Jul17-Jun18 Retail'!#REF!,Adjustments!$C$5:$C$557,'Jul17-Jun18 Retail'!#REF!)</f>
        <v>0</v>
      </c>
      <c r="AI65" s="48">
        <f ca="1">SUMIFS(Adjustments!I$5:I$557,Adjustments!$B$5:$B$557,'Jul17-Jun18 Retail'!#REF!,Adjustments!$C$5:$C$557,'Jul17-Jun18 Retail'!#REF!)</f>
        <v>0</v>
      </c>
      <c r="AJ65" s="40">
        <f ca="1">SUMIFS(Adjustments!J$5:J$557,Adjustments!$B$5:$B$557,'Jul17-Jun18 Retail'!#REF!,Adjustments!$C$5:$C$557,'Jul17-Jun18 Retail'!#REF!)</f>
        <v>0</v>
      </c>
      <c r="AK65" s="40">
        <f ca="1">SUMIFS(Adjustments!K$5:K$557,Adjustments!$B$5:$B$557,'Jul17-Jun18 Retail'!#REF!,Adjustments!$C$5:$C$557,'Jul17-Jun18 Retail'!#REF!)</f>
        <v>0</v>
      </c>
      <c r="AL65" s="40">
        <f ca="1">SUMIFS(Adjustments!L$5:L$557,Adjustments!$B$5:$B$557,'Jul17-Jun18 Retail'!#REF!,Adjustments!$C$5:$C$557,'Jul17-Jun18 Retail'!#REF!)</f>
        <v>0</v>
      </c>
      <c r="AM65" s="40">
        <f ca="1">SUMIFS(Adjustments!M$5:M$557,Adjustments!$B$5:$B$557,'Jul17-Jun18 Retail'!#REF!,Adjustments!$C$5:$C$557,'Jul17-Jun18 Retail'!#REF!)</f>
        <v>0</v>
      </c>
      <c r="AN65" s="40">
        <f ca="1">SUMIFS(Adjustments!N$5:N$557,Adjustments!$B$5:$B$557,'Jul17-Jun18 Retail'!#REF!,Adjustments!$C$5:$C$557,'Jul17-Jun18 Retail'!#REF!)</f>
        <v>0</v>
      </c>
      <c r="AO65" s="40">
        <f ca="1">SUMIFS(Adjustments!O$5:O$557,Adjustments!$B$5:$B$557,'Jul17-Jun18 Retail'!#REF!,Adjustments!$C$5:$C$557,'Jul17-Jun18 Retail'!#REF!)</f>
        <v>0</v>
      </c>
      <c r="AP65" s="40">
        <f ca="1">SUMIFS(Adjustments!P$5:P$557,Adjustments!$B$5:$B$557,'Jul17-Jun18 Retail'!#REF!,Adjustments!$C$5:$C$557,'Jul17-Jun18 Retail'!#REF!)</f>
        <v>0</v>
      </c>
      <c r="AQ65" s="28">
        <f t="shared" ca="1" si="259"/>
        <v>0</v>
      </c>
      <c r="AR65" s="28">
        <f t="shared" ca="1" si="275"/>
        <v>900</v>
      </c>
      <c r="AS65" s="28">
        <f t="shared" ca="1" si="260"/>
        <v>42146.277483093239</v>
      </c>
      <c r="AT65" s="28">
        <f t="shared" ca="1" si="261"/>
        <v>0</v>
      </c>
      <c r="AU65" s="28">
        <f t="shared" si="276"/>
        <v>2750</v>
      </c>
      <c r="AV65" s="28">
        <f t="shared" si="277"/>
        <v>150</v>
      </c>
      <c r="AW65" s="35">
        <f t="shared" si="278"/>
        <v>0</v>
      </c>
      <c r="AX65" s="35">
        <f t="shared" si="279"/>
        <v>0</v>
      </c>
      <c r="AY65" s="35">
        <f t="shared" si="280"/>
        <v>0</v>
      </c>
      <c r="AZ65" s="35">
        <f t="shared" si="262"/>
        <v>3841.5462178069401</v>
      </c>
      <c r="BA65" s="28">
        <f t="shared" ca="1" si="263"/>
        <v>0</v>
      </c>
      <c r="BB65" s="28"/>
      <c r="BC65" s="35">
        <f ca="1">ROUND(SUM(AQ65:BB65),2)</f>
        <v>49787.82</v>
      </c>
      <c r="BD65" s="35">
        <f t="shared" si="281"/>
        <v>49787.823697814041</v>
      </c>
      <c r="BE65" s="36">
        <f t="shared" ca="1" si="265"/>
        <v>1</v>
      </c>
      <c r="BF65" s="35">
        <f>SUMIFS('Fin Forecast'!$S$3:$S$600,'Fin Forecast'!$B$3:$B$600,'Jul17-Jun18 Transport'!$E65,'Fin Forecast'!$C$3:$C$600,'Jul17-Jun18 Transport'!$BF$5)*1000</f>
        <v>0</v>
      </c>
      <c r="BG65" s="35">
        <f>SUMIFS('Fin Forecast'!$S$3:$S$600,'Fin Forecast'!$B$3:$B$600,'Jul17-Jun18 Transport'!$E65,'Fin Forecast'!$C$3:$C$600,'Jul17-Jun18 Transport'!$BG$5)*1000</f>
        <v>0</v>
      </c>
      <c r="BH65" s="35"/>
      <c r="BI65" s="35">
        <f>SUMIFS('Fin Forecast'!$S$3:$S$600,'Fin Forecast'!$B$3:$B$600,'Jul17-Jun18 Transport'!$E65,'Fin Forecast'!$C$3:$C$600,'Jul17-Jun18 Transport'!$BI$5)*1000</f>
        <v>150</v>
      </c>
      <c r="BJ65" s="35">
        <f>SUMIFS('Fin Forecast'!$S$3:$S$600,'Fin Forecast'!$B$3:$B$600,'Jul17-Jun18 Transport'!$E65,'Fin Forecast'!$C$3:$C$600,'Jul17-Jun18 Transport'!$BJ$5)*1000</f>
        <v>2750</v>
      </c>
      <c r="BK65" s="35">
        <f>SUMIFS('Fin Forecast'!$S$3:$S$600,'Fin Forecast'!$B$3:$B$600,'Jul17-Jun18 Transport'!$E65,'Fin Forecast'!$C$3:$C$600,'Jul17-Jun18 Transport'!$BK$5)*1000</f>
        <v>900</v>
      </c>
      <c r="BL65" s="35">
        <f>SUMIFS('Fin Forecast'!$S$3:$S$600,'Fin Forecast'!$B$3:$B$600,'Jul17-Jun18 Transport'!$E65,'Fin Forecast'!$C$3:$C$600,'Jul17-Jun18 Transport'!$BL$5)*1000</f>
        <v>42146.277480007098</v>
      </c>
      <c r="BM65" s="35">
        <f>SUMIFS('Fin Forecast'!$S$3:$S$600,'Fin Forecast'!$B$3:$B$600,'Jul17-Jun18 Transport'!$E65,'Fin Forecast'!$C$3:$C$600,'Jul17-Jun18 Transport'!$BM$5)*1000</f>
        <v>0</v>
      </c>
      <c r="BN65" s="35">
        <f>SUMIFS('Fin Forecast'!$S$3:$S$600,'Fin Forecast'!$B$3:$B$600,'Jul17-Jun18 Transport'!$E65,'Fin Forecast'!$C$3:$C$600,'Jul17-Jun18 Transport'!$BN$5)*1000</f>
        <v>3841.5462178069401</v>
      </c>
      <c r="BP65" s="44">
        <f t="shared" ca="1" si="266"/>
        <v>-3.6978140415158123E-3</v>
      </c>
      <c r="BR65" s="49">
        <f t="shared" ca="1" si="267"/>
        <v>0</v>
      </c>
      <c r="BS65" s="49">
        <f t="shared" ca="1" si="268"/>
        <v>3.0861410778015852E-6</v>
      </c>
      <c r="BT65" s="49">
        <f t="shared" si="269"/>
        <v>0</v>
      </c>
    </row>
    <row r="66" spans="1:72" ht="15" x14ac:dyDescent="0.25">
      <c r="A66" s="418" t="s">
        <v>639</v>
      </c>
      <c r="C66" s="6">
        <f t="shared" si="282"/>
        <v>52</v>
      </c>
      <c r="D66" s="361">
        <f t="shared" si="283"/>
        <v>43160</v>
      </c>
      <c r="E66" s="361" t="s">
        <v>87</v>
      </c>
      <c r="F66" s="6" t="str">
        <f t="shared" si="270"/>
        <v>892</v>
      </c>
      <c r="G66" s="6" t="str">
        <f>VLOOKUP(E66,'Retail Rates'!$B$7:$D$34,3,FALSE)</f>
        <v>AAGS-I-TS-2</v>
      </c>
      <c r="H66" s="25">
        <f>SUMIF('Forcasted Customer Cts'!$D$5:$D$36,'Jul17-Jun18 Transport'!$E66,'Forcasted Customer Cts'!$X$5:$X$36)</f>
        <v>2</v>
      </c>
      <c r="I66" s="25"/>
      <c r="J66" s="25"/>
      <c r="K66" s="25">
        <f>SUMIF('Forecasted Calendar Month Usage'!$D$5:$D$41,'Jul17-Jun18 Transport'!$E66,'Forecasted Calendar Month Usage'!$AF$5:$AF$41)*10</f>
        <v>159184.64883627565</v>
      </c>
      <c r="L66" s="25"/>
      <c r="M66" s="25"/>
      <c r="N66" s="25"/>
      <c r="O66" s="26">
        <f>VLOOKUP($E66,'Retail Rates'!$B$7:$L$34,5,FALSE)</f>
        <v>400</v>
      </c>
      <c r="P66" s="26">
        <f>VLOOKUP($E66,'Retail Rates'!$B$7:$L$34,6,FALSE)</f>
        <v>0</v>
      </c>
      <c r="Q66" s="26">
        <f>VLOOKUP($E66,'Retail Rates'!$B$7:$L$34,9,FALSE)</f>
        <v>550</v>
      </c>
      <c r="R66" s="27">
        <f>VLOOKUP($E66,'Retail Rates'!$B$7:$L$34,7,FALSE)</f>
        <v>7.009E-2</v>
      </c>
      <c r="S66" s="27">
        <f>VLOOKUP($E66,'Retail Rates'!$B$7:$L$34,8,FALSE)</f>
        <v>0</v>
      </c>
      <c r="T66" s="309">
        <v>75</v>
      </c>
      <c r="U66" s="26">
        <f>VLOOKUP($E66,'Retail Rates'!$B$7:$L$34,11,FALSE)</f>
        <v>0</v>
      </c>
      <c r="V66" s="309"/>
      <c r="W66" s="309"/>
      <c r="X66" s="28">
        <f t="shared" ref="X66:X68" si="284">(+H66*O66)+(I66*O66)</f>
        <v>800</v>
      </c>
      <c r="Y66" s="28">
        <f t="shared" si="271"/>
        <v>0</v>
      </c>
      <c r="Z66" s="28">
        <f t="shared" ref="Z66:Z68" si="285">H66*Q66</f>
        <v>1100</v>
      </c>
      <c r="AA66" s="28">
        <f t="shared" si="257"/>
        <v>11157.25203693456</v>
      </c>
      <c r="AB66" s="28">
        <f t="shared" si="272"/>
        <v>0</v>
      </c>
      <c r="AC66" s="28">
        <f t="shared" si="273"/>
        <v>0</v>
      </c>
      <c r="AD66" s="28">
        <f t="shared" ref="AD66:AD68" si="286">H66*V66</f>
        <v>0</v>
      </c>
      <c r="AE66" s="28"/>
      <c r="AF66" s="28">
        <f t="shared" si="258"/>
        <v>0</v>
      </c>
      <c r="AG66" s="28"/>
      <c r="AH66" s="48">
        <f ca="1">SUMIFS(Adjustments!H$5:H$557,Adjustments!$B$5:$B$557,'Jul17-Jun18 Retail'!$D65,Adjustments!$C$5:$C$557,'Jul17-Jun18 Retail'!$E65)</f>
        <v>0</v>
      </c>
      <c r="AI66" s="48">
        <f ca="1">SUMIFS(Adjustments!I$5:I$557,Adjustments!$B$5:$B$557,'Jul17-Jun18 Retail'!$D65,Adjustments!$C$5:$C$557,'Jul17-Jun18 Retail'!$E65)</f>
        <v>0</v>
      </c>
      <c r="AJ66" s="40">
        <f ca="1">SUMIFS(Adjustments!J$5:J$557,Adjustments!$B$5:$B$557,'Jul17-Jun18 Retail'!$D65,Adjustments!$C$5:$C$557,'Jul17-Jun18 Retail'!$E65)</f>
        <v>0</v>
      </c>
      <c r="AK66" s="40">
        <f ca="1">SUMIFS(Adjustments!K$5:K$557,Adjustments!$B$5:$B$557,'Jul17-Jun18 Retail'!$D65,Adjustments!$C$5:$C$557,'Jul17-Jun18 Retail'!$E65)</f>
        <v>0</v>
      </c>
      <c r="AL66" s="40">
        <f ca="1">SUMIFS(Adjustments!L$5:L$557,Adjustments!$B$5:$B$557,'Jul17-Jun18 Retail'!$D65,Adjustments!$C$5:$C$557,'Jul17-Jun18 Retail'!$E65)</f>
        <v>0</v>
      </c>
      <c r="AM66" s="40">
        <f ca="1">SUMIFS(Adjustments!M$5:M$557,Adjustments!$B$5:$B$557,'Jul17-Jun18 Retail'!$D65,Adjustments!$C$5:$C$557,'Jul17-Jun18 Retail'!$E65)</f>
        <v>0</v>
      </c>
      <c r="AN66" s="40">
        <f ca="1">SUMIFS(Adjustments!N$5:N$557,Adjustments!$B$5:$B$557,'Jul17-Jun18 Retail'!$D65,Adjustments!$C$5:$C$557,'Jul17-Jun18 Retail'!$E65)</f>
        <v>0</v>
      </c>
      <c r="AO66" s="40">
        <f ca="1">SUMIFS(Adjustments!O$5:O$557,Adjustments!$B$5:$B$557,'Jul17-Jun18 Retail'!$D65,Adjustments!$C$5:$C$557,'Jul17-Jun18 Retail'!$E65)</f>
        <v>0</v>
      </c>
      <c r="AP66" s="40">
        <f ca="1">SUMIFS(Adjustments!P$5:P$557,Adjustments!$B$5:$B$557,'Jul17-Jun18 Retail'!$D65,Adjustments!$C$5:$C$557,'Jul17-Jun18 Retail'!$E65)</f>
        <v>0</v>
      </c>
      <c r="AQ66" s="28">
        <f t="shared" ca="1" si="259"/>
        <v>800</v>
      </c>
      <c r="AR66" s="28">
        <f t="shared" ca="1" si="275"/>
        <v>0</v>
      </c>
      <c r="AS66" s="28">
        <f t="shared" ca="1" si="260"/>
        <v>11157.25203693456</v>
      </c>
      <c r="AT66" s="28">
        <f t="shared" ca="1" si="261"/>
        <v>0</v>
      </c>
      <c r="AU66" s="28">
        <f t="shared" si="276"/>
        <v>1100</v>
      </c>
      <c r="AV66" s="28">
        <f t="shared" si="277"/>
        <v>0</v>
      </c>
      <c r="AW66" s="35">
        <f t="shared" si="278"/>
        <v>0</v>
      </c>
      <c r="AX66" s="35">
        <f t="shared" si="279"/>
        <v>0</v>
      </c>
      <c r="AY66" s="35">
        <f t="shared" si="280"/>
        <v>0</v>
      </c>
      <c r="AZ66" s="35">
        <f t="shared" si="262"/>
        <v>5002.7106352158298</v>
      </c>
      <c r="BA66" s="28">
        <f t="shared" ca="1" si="263"/>
        <v>0</v>
      </c>
      <c r="BB66" s="28"/>
      <c r="BC66" s="35">
        <f t="shared" ref="BC66:BC68" ca="1" si="287">ROUND(SUM(AQ66:BB66),2)</f>
        <v>18059.96</v>
      </c>
      <c r="BD66" s="35">
        <f t="shared" si="281"/>
        <v>18059.96267215033</v>
      </c>
      <c r="BE66" s="36">
        <f t="shared" ca="1" si="265"/>
        <v>1</v>
      </c>
      <c r="BF66" s="35">
        <f>SUMIFS('Fin Forecast'!$S$3:$S$600,'Fin Forecast'!$B$3:$B$600,'Jul17-Jun18 Transport'!$E66,'Fin Forecast'!$C$3:$C$600,'Jul17-Jun18 Transport'!$BF$5)*1000</f>
        <v>0</v>
      </c>
      <c r="BG66" s="35">
        <f>SUMIFS('Fin Forecast'!$S$3:$S$600,'Fin Forecast'!$B$3:$B$600,'Jul17-Jun18 Transport'!$E66,'Fin Forecast'!$C$3:$C$600,'Jul17-Jun18 Transport'!$BG$5)*1000</f>
        <v>0</v>
      </c>
      <c r="BH66" s="35"/>
      <c r="BI66" s="35">
        <f>SUMIFS('Fin Forecast'!$S$3:$S$600,'Fin Forecast'!$B$3:$B$600,'Jul17-Jun18 Transport'!$E66,'Fin Forecast'!$C$3:$C$600,'Jul17-Jun18 Transport'!$BI$5)*1000</f>
        <v>0</v>
      </c>
      <c r="BJ66" s="35">
        <f>SUMIFS('Fin Forecast'!$S$3:$S$600,'Fin Forecast'!$B$3:$B$600,'Jul17-Jun18 Transport'!$E66,'Fin Forecast'!$C$3:$C$600,'Jul17-Jun18 Transport'!$BJ$5)*1000</f>
        <v>1100</v>
      </c>
      <c r="BK66" s="35">
        <f>SUMIFS('Fin Forecast'!$S$3:$S$600,'Fin Forecast'!$B$3:$B$600,'Jul17-Jun18 Transport'!$E66,'Fin Forecast'!$C$3:$C$600,'Jul17-Jun18 Transport'!$BK$5)*1000</f>
        <v>800</v>
      </c>
      <c r="BL66" s="35">
        <f>SUMIFS('Fin Forecast'!$S$3:$S$600,'Fin Forecast'!$B$3:$B$600,'Jul17-Jun18 Transport'!$E66,'Fin Forecast'!$C$3:$C$600,'Jul17-Jun18 Transport'!$BL$5)*1000</f>
        <v>11157.2520369345</v>
      </c>
      <c r="BM66" s="35">
        <f>SUMIFS('Fin Forecast'!$S$3:$S$600,'Fin Forecast'!$B$3:$B$600,'Jul17-Jun18 Transport'!$E66,'Fin Forecast'!$C$3:$C$600,'Jul17-Jun18 Transport'!$BM$5)*1000</f>
        <v>0</v>
      </c>
      <c r="BN66" s="35">
        <f>SUMIFS('Fin Forecast'!$S$3:$S$600,'Fin Forecast'!$B$3:$B$600,'Jul17-Jun18 Transport'!$E66,'Fin Forecast'!$C$3:$C$600,'Jul17-Jun18 Transport'!$BN$5)*1000</f>
        <v>5002.7106352158298</v>
      </c>
      <c r="BP66" s="44">
        <f t="shared" ca="1" si="266"/>
        <v>-2.6721503309090622E-3</v>
      </c>
      <c r="BR66" s="49">
        <f t="shared" ca="1" si="267"/>
        <v>0</v>
      </c>
      <c r="BS66" s="49">
        <f t="shared" ca="1" si="268"/>
        <v>6.0026650317013264E-11</v>
      </c>
      <c r="BT66" s="49">
        <f t="shared" si="269"/>
        <v>0</v>
      </c>
    </row>
    <row r="67" spans="1:72" ht="15" x14ac:dyDescent="0.25">
      <c r="C67" s="6">
        <f t="shared" si="282"/>
        <v>53</v>
      </c>
      <c r="D67" s="361">
        <f t="shared" si="283"/>
        <v>43160</v>
      </c>
      <c r="E67" s="361" t="s">
        <v>51</v>
      </c>
      <c r="F67" s="6" t="str">
        <f t="shared" si="270"/>
        <v>997</v>
      </c>
      <c r="G67" s="6" t="str">
        <f>VLOOKUP(E67,'Retail Rates'!$B$7:$D$34,3,FALSE)</f>
        <v>SPC-P</v>
      </c>
      <c r="H67" s="25">
        <f>SUMIF('Forcasted Customer Cts'!$D$5:$D$36,'Jul17-Jun18 Transport'!$E67,'Forcasted Customer Cts'!$X$5:$X$36)</f>
        <v>0</v>
      </c>
      <c r="I67" s="25"/>
      <c r="J67" s="25"/>
      <c r="K67" s="25">
        <f>SUMIF('Forecasted Calendar Month Usage'!$D$5:$D$41,'Jul17-Jun18 Transport'!$E67,'Forecasted Calendar Month Usage'!$AF$5:$AF$41)</f>
        <v>0</v>
      </c>
      <c r="L67" s="25"/>
      <c r="M67" s="25"/>
      <c r="N67" s="25"/>
      <c r="O67" s="26">
        <f>VLOOKUP($E67,'Retail Rates'!$B$7:$L$34,5,FALSE)</f>
        <v>800</v>
      </c>
      <c r="P67" s="26">
        <f>VLOOKUP($E67,'Retail Rates'!$B$7:$L$34,6,FALSE)</f>
        <v>0</v>
      </c>
      <c r="Q67" s="26">
        <f>VLOOKUP($E67,'Retail Rates'!$B$7:$L$34,9,FALSE)</f>
        <v>0</v>
      </c>
      <c r="R67" s="27">
        <f>VLOOKUP($E67,'Retail Rates'!$B$7:$L$34,7,FALSE)</f>
        <v>4.9699999999999996E-3</v>
      </c>
      <c r="S67" s="27">
        <f>VLOOKUP($E67,'Retail Rates'!$B$7:$L$34,8,FALSE)</f>
        <v>0</v>
      </c>
      <c r="T67" s="309">
        <v>0</v>
      </c>
      <c r="U67" s="403">
        <f>VLOOKUP($E67,'Retail Rates'!$B$7:$L$34,11,FALSE)</f>
        <v>0.24801000000000001</v>
      </c>
      <c r="V67" s="27"/>
      <c r="W67" s="309"/>
      <c r="X67" s="28">
        <f t="shared" si="284"/>
        <v>0</v>
      </c>
      <c r="Y67" s="28">
        <f t="shared" si="271"/>
        <v>0</v>
      </c>
      <c r="Z67" s="28">
        <f t="shared" si="285"/>
        <v>0</v>
      </c>
      <c r="AA67" s="28">
        <f t="shared" si="257"/>
        <v>0</v>
      </c>
      <c r="AB67" s="28">
        <f t="shared" si="272"/>
        <v>0</v>
      </c>
      <c r="AC67" s="28">
        <f t="shared" si="273"/>
        <v>0</v>
      </c>
      <c r="AD67" s="28">
        <f t="shared" si="286"/>
        <v>0</v>
      </c>
      <c r="AE67" s="28"/>
      <c r="AF67" s="28">
        <f t="shared" si="258"/>
        <v>0</v>
      </c>
      <c r="AG67" s="28"/>
      <c r="AH67" s="48">
        <f ca="1">SUMIFS(Adjustments!H$5:H$557,Adjustments!$B$5:$B$557,'Jul17-Jun18 Retail'!#REF!,Adjustments!$C$5:$C$557,'Jul17-Jun18 Retail'!#REF!)</f>
        <v>0</v>
      </c>
      <c r="AI67" s="48">
        <f ca="1">SUMIFS(Adjustments!I$5:I$557,Adjustments!$B$5:$B$557,'Jul17-Jun18 Retail'!#REF!,Adjustments!$C$5:$C$557,'Jul17-Jun18 Retail'!#REF!)</f>
        <v>0</v>
      </c>
      <c r="AJ67" s="40">
        <f ca="1">SUMIFS(Adjustments!J$5:J$557,Adjustments!$B$5:$B$557,'Jul17-Jun18 Retail'!#REF!,Adjustments!$C$5:$C$557,'Jul17-Jun18 Retail'!#REF!)</f>
        <v>0</v>
      </c>
      <c r="AK67" s="40">
        <f ca="1">SUMIFS(Adjustments!K$5:K$557,Adjustments!$B$5:$B$557,'Jul17-Jun18 Retail'!#REF!,Adjustments!$C$5:$C$557,'Jul17-Jun18 Retail'!#REF!)</f>
        <v>0</v>
      </c>
      <c r="AL67" s="40">
        <f ca="1">SUMIFS(Adjustments!L$5:L$557,Adjustments!$B$5:$B$557,'Jul17-Jun18 Retail'!#REF!,Adjustments!$C$5:$C$557,'Jul17-Jun18 Retail'!#REF!)</f>
        <v>0</v>
      </c>
      <c r="AM67" s="40">
        <f ca="1">SUMIFS(Adjustments!M$5:M$557,Adjustments!$B$5:$B$557,'Jul17-Jun18 Retail'!#REF!,Adjustments!$C$5:$C$557,'Jul17-Jun18 Retail'!#REF!)</f>
        <v>0</v>
      </c>
      <c r="AN67" s="40">
        <f ca="1">SUMIFS(Adjustments!N$5:N$557,Adjustments!$B$5:$B$557,'Jul17-Jun18 Retail'!#REF!,Adjustments!$C$5:$C$557,'Jul17-Jun18 Retail'!#REF!)</f>
        <v>0</v>
      </c>
      <c r="AO67" s="40">
        <f ca="1">SUMIFS(Adjustments!O$5:O$557,Adjustments!$B$5:$B$557,'Jul17-Jun18 Retail'!#REF!,Adjustments!$C$5:$C$557,'Jul17-Jun18 Retail'!#REF!)</f>
        <v>0</v>
      </c>
      <c r="AP67" s="40">
        <f ca="1">SUMIFS(Adjustments!P$5:P$557,Adjustments!$B$5:$B$557,'Jul17-Jun18 Retail'!#REF!,Adjustments!$C$5:$C$557,'Jul17-Jun18 Retail'!#REF!)</f>
        <v>0</v>
      </c>
      <c r="AQ67" s="28">
        <f t="shared" ca="1" si="259"/>
        <v>0</v>
      </c>
      <c r="AR67" s="28">
        <f t="shared" ca="1" si="275"/>
        <v>0</v>
      </c>
      <c r="AS67" s="28">
        <f t="shared" ca="1" si="260"/>
        <v>0</v>
      </c>
      <c r="AT67" s="28">
        <f t="shared" ca="1" si="261"/>
        <v>0</v>
      </c>
      <c r="AU67" s="28">
        <f t="shared" si="276"/>
        <v>0</v>
      </c>
      <c r="AV67" s="28">
        <f t="shared" si="277"/>
        <v>0</v>
      </c>
      <c r="AW67" s="35">
        <f t="shared" si="278"/>
        <v>0</v>
      </c>
      <c r="AX67" s="35">
        <f t="shared" si="279"/>
        <v>0</v>
      </c>
      <c r="AY67" s="35">
        <f t="shared" si="280"/>
        <v>0</v>
      </c>
      <c r="AZ67" s="35">
        <f t="shared" si="262"/>
        <v>0</v>
      </c>
      <c r="BA67" s="28">
        <f t="shared" ca="1" si="263"/>
        <v>0</v>
      </c>
      <c r="BB67" s="28"/>
      <c r="BC67" s="35">
        <f t="shared" ca="1" si="287"/>
        <v>0</v>
      </c>
      <c r="BD67" s="35">
        <f t="shared" si="281"/>
        <v>0</v>
      </c>
      <c r="BE67" s="36">
        <f t="shared" si="265"/>
        <v>0</v>
      </c>
      <c r="BF67" s="35">
        <f>SUMIFS('Fin Forecast'!$S$3:$S$600,'Fin Forecast'!$B$3:$B$600,'Jul17-Jun18 Transport'!$E67,'Fin Forecast'!$C$3:$C$600,'Jul17-Jun18 Transport'!$BF$5)*1000</f>
        <v>0</v>
      </c>
      <c r="BG67" s="35">
        <f>SUMIFS('Fin Forecast'!$S$3:$S$600,'Fin Forecast'!$B$3:$B$600,'Jul17-Jun18 Transport'!$E67,'Fin Forecast'!$C$3:$C$600,'Jul17-Jun18 Transport'!$BG$5)*1000</f>
        <v>0</v>
      </c>
      <c r="BH67" s="35"/>
      <c r="BI67" s="35">
        <f>SUMIFS('Fin Forecast'!$S$3:$S$600,'Fin Forecast'!$B$3:$B$600,'Jul17-Jun18 Transport'!$E67,'Fin Forecast'!$C$3:$C$600,'Jul17-Jun18 Transport'!$BI$5)*1000</f>
        <v>0</v>
      </c>
      <c r="BJ67" s="35">
        <f>SUMIFS('Fin Forecast'!$S$3:$S$600,'Fin Forecast'!$B$3:$B$600,'Jul17-Jun18 Transport'!$E67,'Fin Forecast'!$C$3:$C$600,'Jul17-Jun18 Transport'!$BJ$5)*1000</f>
        <v>0</v>
      </c>
      <c r="BK67" s="35">
        <f>SUMIFS('Fin Forecast'!$S$3:$S$600,'Fin Forecast'!$B$3:$B$600,'Jul17-Jun18 Transport'!$E67,'Fin Forecast'!$C$3:$C$600,'Jul17-Jun18 Transport'!$BK$5)*1000</f>
        <v>0</v>
      </c>
      <c r="BL67" s="35">
        <f>SUMIFS('Fin Forecast'!$S$3:$S$600,'Fin Forecast'!$B$3:$B$600,'Jul17-Jun18 Transport'!$E67,'Fin Forecast'!$C$3:$C$600,'Jul17-Jun18 Transport'!$BL$5)*1000</f>
        <v>0</v>
      </c>
      <c r="BM67" s="35">
        <f>SUMIFS('Fin Forecast'!$S$3:$S$600,'Fin Forecast'!$B$3:$B$600,'Jul17-Jun18 Transport'!$E67,'Fin Forecast'!$C$3:$C$600,'Jul17-Jun18 Transport'!$BM$5)*1000</f>
        <v>0</v>
      </c>
      <c r="BN67" s="35">
        <f>SUMIFS('Fin Forecast'!$S$3:$S$600,'Fin Forecast'!$B$3:$B$600,'Jul17-Jun18 Transport'!$E67,'Fin Forecast'!$C$3:$C$600,'Jul17-Jun18 Transport'!$BN$5)*1000</f>
        <v>0</v>
      </c>
      <c r="BP67" s="44">
        <f t="shared" ca="1" si="266"/>
        <v>0</v>
      </c>
      <c r="BR67" s="49">
        <f t="shared" ca="1" si="267"/>
        <v>0</v>
      </c>
      <c r="BS67" s="49">
        <f t="shared" ca="1" si="268"/>
        <v>0</v>
      </c>
      <c r="BT67" s="49">
        <f t="shared" si="269"/>
        <v>0</v>
      </c>
    </row>
    <row r="68" spans="1:72" ht="15" x14ac:dyDescent="0.25">
      <c r="A68" s="304"/>
      <c r="C68" s="6">
        <f t="shared" si="282"/>
        <v>54</v>
      </c>
      <c r="D68" s="361">
        <f t="shared" si="283"/>
        <v>43160</v>
      </c>
      <c r="E68" s="361" t="s">
        <v>34</v>
      </c>
      <c r="F68" s="6" t="str">
        <f t="shared" si="270"/>
        <v>996</v>
      </c>
      <c r="G68" s="6" t="s">
        <v>754</v>
      </c>
      <c r="H68" s="25">
        <f>SUMIF('Forcasted Customer Cts'!$D$5:$D$36,'Jul17-Jun18 Transport'!$E68,'Forcasted Customer Cts'!$X$5:$X$36)</f>
        <v>1</v>
      </c>
      <c r="I68" s="25"/>
      <c r="J68" s="25"/>
      <c r="K68" s="25">
        <f>SUMIF('Forecasted Calendar Month Usage'!$D$5:$D$41,'Jul17-Jun18 Transport'!$E68,'Forecasted Calendar Month Usage'!$AF$5:$AF$41)*10</f>
        <v>121918.99999999994</v>
      </c>
      <c r="L68" s="25"/>
      <c r="M68" s="25"/>
      <c r="N68" s="25">
        <f>16560*10</f>
        <v>165600</v>
      </c>
      <c r="O68" s="26">
        <f>VLOOKUP($E68,'Retail Rates'!$B$7:$L$34,5,FALSE)</f>
        <v>180</v>
      </c>
      <c r="P68" s="26">
        <f>VLOOKUP($E68,'Retail Rates'!$B$7:$L$34,6,FALSE)</f>
        <v>0</v>
      </c>
      <c r="Q68" s="26">
        <f>VLOOKUP($E68,'Retail Rates'!$B$7:$L$34,9,FALSE)</f>
        <v>0</v>
      </c>
      <c r="R68" s="27">
        <f>VLOOKUP($E68,'Retail Rates'!$B$7:$L$34,7,FALSE)</f>
        <v>3.329E-2</v>
      </c>
      <c r="S68" s="27">
        <f>VLOOKUP($E68,'Retail Rates'!$B$7:$L$34,8,FALSE)</f>
        <v>0</v>
      </c>
      <c r="T68" s="309">
        <v>0</v>
      </c>
      <c r="U68" s="403">
        <f>VLOOKUP($E68,'Retail Rates'!$B$7:$L$34,11,FALSE)</f>
        <v>1.12629</v>
      </c>
      <c r="V68" s="27"/>
      <c r="W68" s="309"/>
      <c r="X68" s="28">
        <f t="shared" si="284"/>
        <v>180</v>
      </c>
      <c r="Y68" s="28">
        <f t="shared" si="271"/>
        <v>0</v>
      </c>
      <c r="Z68" s="28">
        <f t="shared" si="285"/>
        <v>0</v>
      </c>
      <c r="AA68" s="28">
        <f t="shared" si="257"/>
        <v>4058.683509999998</v>
      </c>
      <c r="AB68" s="28">
        <f t="shared" si="272"/>
        <v>0</v>
      </c>
      <c r="AC68" s="28">
        <f t="shared" si="273"/>
        <v>0</v>
      </c>
      <c r="AD68" s="28">
        <f t="shared" si="286"/>
        <v>0</v>
      </c>
      <c r="AE68" s="28"/>
      <c r="AF68" s="28">
        <f>N68*U68</f>
        <v>186513.62400000001</v>
      </c>
      <c r="AG68" s="28"/>
      <c r="AH68" s="48">
        <f ca="1">SUMIFS(Adjustments!H$5:H$557,Adjustments!$B$5:$B$557,'Jul17-Jun18 Retail'!$D66,Adjustments!$C$5:$C$557,'Jul17-Jun18 Retail'!$E66)</f>
        <v>0</v>
      </c>
      <c r="AI68" s="48">
        <f ca="1">SUMIFS(Adjustments!I$5:I$557,Adjustments!$B$5:$B$557,'Jul17-Jun18 Retail'!$D66,Adjustments!$C$5:$C$557,'Jul17-Jun18 Retail'!$E66)</f>
        <v>0</v>
      </c>
      <c r="AJ68" s="40">
        <f ca="1">SUMIFS(Adjustments!J$5:J$557,Adjustments!$B$5:$B$557,'Jul17-Jun18 Retail'!$D66,Adjustments!$C$5:$C$557,'Jul17-Jun18 Retail'!$E66)</f>
        <v>0</v>
      </c>
      <c r="AK68" s="40">
        <f ca="1">SUMIFS(Adjustments!K$5:K$557,Adjustments!$B$5:$B$557,'Jul17-Jun18 Retail'!$D66,Adjustments!$C$5:$C$557,'Jul17-Jun18 Retail'!$E66)</f>
        <v>0</v>
      </c>
      <c r="AL68" s="40">
        <f ca="1">SUMIFS(Adjustments!L$5:L$557,Adjustments!$B$5:$B$557,'Jul17-Jun18 Retail'!$D66,Adjustments!$C$5:$C$557,'Jul17-Jun18 Retail'!$E66)</f>
        <v>0</v>
      </c>
      <c r="AM68" s="40">
        <f ca="1">SUMIFS(Adjustments!M$5:M$557,Adjustments!$B$5:$B$557,'Jul17-Jun18 Retail'!$D66,Adjustments!$C$5:$C$557,'Jul17-Jun18 Retail'!$E66)</f>
        <v>0</v>
      </c>
      <c r="AN68" s="40">
        <f ca="1">SUMIFS(Adjustments!N$5:N$557,Adjustments!$B$5:$B$557,'Jul17-Jun18 Retail'!$D66,Adjustments!$C$5:$C$557,'Jul17-Jun18 Retail'!$E66)</f>
        <v>0</v>
      </c>
      <c r="AO68" s="40">
        <f ca="1">SUMIFS(Adjustments!O$5:O$557,Adjustments!$B$5:$B$557,'Jul17-Jun18 Retail'!$D66,Adjustments!$C$5:$C$557,'Jul17-Jun18 Retail'!$E66)</f>
        <v>0</v>
      </c>
      <c r="AP68" s="40">
        <f ca="1">SUMIFS(Adjustments!P$5:P$557,Adjustments!$B$5:$B$557,'Jul17-Jun18 Retail'!$D66,Adjustments!$C$5:$C$557,'Jul17-Jun18 Retail'!$E66)</f>
        <v>0</v>
      </c>
      <c r="AQ68" s="28">
        <f t="shared" ca="1" si="259"/>
        <v>180</v>
      </c>
      <c r="AR68" s="28">
        <f t="shared" ca="1" si="275"/>
        <v>0</v>
      </c>
      <c r="AS68" s="28">
        <f t="shared" ca="1" si="260"/>
        <v>4058.683509999998</v>
      </c>
      <c r="AT68" s="28">
        <f t="shared" ca="1" si="261"/>
        <v>0</v>
      </c>
      <c r="AU68" s="28">
        <f t="shared" si="276"/>
        <v>0</v>
      </c>
      <c r="AV68" s="28">
        <f t="shared" si="277"/>
        <v>0</v>
      </c>
      <c r="AW68" s="35">
        <f t="shared" si="278"/>
        <v>63467.207306038399</v>
      </c>
      <c r="AX68" s="35">
        <f t="shared" si="279"/>
        <v>0</v>
      </c>
      <c r="AY68" s="35">
        <f t="shared" si="280"/>
        <v>0</v>
      </c>
      <c r="AZ68" s="35">
        <f t="shared" si="262"/>
        <v>0</v>
      </c>
      <c r="BA68" s="28">
        <f t="shared" ca="1" si="263"/>
        <v>186513.62400000001</v>
      </c>
      <c r="BB68" s="28"/>
      <c r="BC68" s="35">
        <f t="shared" ca="1" si="287"/>
        <v>254219.51</v>
      </c>
      <c r="BD68" s="35">
        <f t="shared" si="281"/>
        <v>254219.51481603837</v>
      </c>
      <c r="BE68" s="36">
        <f t="shared" ca="1" si="265"/>
        <v>1</v>
      </c>
      <c r="BF68" s="35">
        <f>SUMIFS('Fin Forecast'!$S$3:$S$600,'Fin Forecast'!$B$3:$B$600,'Jul17-Jun18 Transport'!$E68,'Fin Forecast'!$C$3:$C$600,'Jul17-Jun18 Transport'!$BF$5)*1000</f>
        <v>0</v>
      </c>
      <c r="BG68" s="35">
        <f>SUMIFS('Fin Forecast'!$S$3:$S$600,'Fin Forecast'!$B$3:$B$600,'Jul17-Jun18 Transport'!$E68,'Fin Forecast'!$C$3:$C$600,'Jul17-Jun18 Transport'!$BG$5)*1000</f>
        <v>63467.207306038399</v>
      </c>
      <c r="BH68" s="35"/>
      <c r="BI68" s="35">
        <f>SUMIFS('Fin Forecast'!$S$3:$S$600,'Fin Forecast'!$B$3:$B$600,'Jul17-Jun18 Transport'!$E68,'Fin Forecast'!$C$3:$C$600,'Jul17-Jun18 Transport'!$BI$5)*1000</f>
        <v>0</v>
      </c>
      <c r="BJ68" s="35">
        <f>SUMIFS('Fin Forecast'!$S$3:$S$600,'Fin Forecast'!$B$3:$B$600,'Jul17-Jun18 Transport'!$E68,'Fin Forecast'!$C$3:$C$600,'Jul17-Jun18 Transport'!$BJ$5)*1000</f>
        <v>0</v>
      </c>
      <c r="BK68" s="35">
        <f>SUMIFS('Fin Forecast'!$S$3:$S$600,'Fin Forecast'!$B$3:$B$600,'Jul17-Jun18 Transport'!$E68,'Fin Forecast'!$C$3:$C$600,'Jul17-Jun18 Transport'!$BK$5)*1000</f>
        <v>180</v>
      </c>
      <c r="BL68" s="35">
        <f>SUMIFS('Fin Forecast'!$S$3:$S$600,'Fin Forecast'!$B$3:$B$600,'Jul17-Jun18 Transport'!$E68,'Fin Forecast'!$C$3:$C$600,'Jul17-Jun18 Transport'!$BL$5)*1000</f>
        <v>4058.6835099999998</v>
      </c>
      <c r="BM68" s="35">
        <f>SUMIFS('Fin Forecast'!$S$3:$S$600,'Fin Forecast'!$B$3:$B$600,'Jul17-Jun18 Transport'!$E68,'Fin Forecast'!$C$3:$C$600,'Jul17-Jun18 Transport'!$BM$5)*1000</f>
        <v>186513.62399999998</v>
      </c>
      <c r="BN68" s="35">
        <f>SUMIFS('Fin Forecast'!$S$3:$S$600,'Fin Forecast'!$B$3:$B$600,'Jul17-Jun18 Transport'!$E68,'Fin Forecast'!$C$3:$C$600,'Jul17-Jun18 Transport'!$BN$5)*1000</f>
        <v>0</v>
      </c>
      <c r="BP68" s="44">
        <f t="shared" ca="1" si="266"/>
        <v>-4.8160383594222367E-3</v>
      </c>
      <c r="BR68" s="49">
        <f t="shared" ca="1" si="267"/>
        <v>0</v>
      </c>
      <c r="BS68" s="49">
        <f t="shared" ca="1" si="268"/>
        <v>0</v>
      </c>
      <c r="BT68" s="49">
        <f t="shared" si="269"/>
        <v>0</v>
      </c>
    </row>
    <row r="69" spans="1:72" s="323" customFormat="1" ht="15" x14ac:dyDescent="0.25">
      <c r="C69" s="324"/>
      <c r="D69" s="362"/>
      <c r="E69" s="362"/>
      <c r="F69" s="324"/>
      <c r="G69" s="324"/>
      <c r="O69" s="326"/>
      <c r="P69" s="326"/>
      <c r="Q69" s="327"/>
      <c r="R69" s="327"/>
      <c r="S69" s="327"/>
      <c r="T69" s="326"/>
      <c r="U69" s="327"/>
      <c r="V69" s="327"/>
      <c r="W69" s="328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30"/>
      <c r="AI69" s="330"/>
      <c r="AJ69" s="329"/>
      <c r="AK69" s="329"/>
      <c r="AL69" s="329"/>
      <c r="AM69" s="329"/>
      <c r="AN69" s="329"/>
      <c r="AO69" s="329"/>
      <c r="AP69" s="329"/>
      <c r="AQ69" s="341"/>
      <c r="AR69" s="341"/>
      <c r="AS69" s="341"/>
      <c r="AT69" s="341"/>
      <c r="AU69" s="341"/>
      <c r="AV69" s="341"/>
      <c r="AW69" s="329"/>
      <c r="AX69" s="329"/>
      <c r="AY69" s="329"/>
      <c r="AZ69" s="329"/>
      <c r="BA69" s="329"/>
      <c r="BB69" s="329"/>
      <c r="BC69" s="329"/>
      <c r="BD69" s="329"/>
      <c r="BE69" s="331"/>
      <c r="BF69" s="341"/>
      <c r="BG69" s="341"/>
      <c r="BH69" s="341"/>
      <c r="BI69" s="341"/>
      <c r="BJ69" s="341"/>
      <c r="BK69" s="341"/>
      <c r="BL69" s="341"/>
      <c r="BM69" s="341"/>
      <c r="BN69" s="341"/>
      <c r="BP69" s="329"/>
      <c r="BR69" s="329"/>
      <c r="BS69" s="329"/>
      <c r="BT69" s="329"/>
    </row>
    <row r="70" spans="1:72" ht="15" x14ac:dyDescent="0.25">
      <c r="C70" s="6">
        <f>C68+1</f>
        <v>55</v>
      </c>
      <c r="D70" s="361">
        <f>EDATE(D63,1)</f>
        <v>43191</v>
      </c>
      <c r="E70" s="361" t="s">
        <v>41</v>
      </c>
      <c r="F70" s="6" t="str">
        <f>MID(E70,6,3)</f>
        <v>895</v>
      </c>
      <c r="G70" s="6" t="str">
        <f>VLOOKUP(E70,'Retail Rates'!$B$7:$D$34,3,FALSE)</f>
        <v>FT-C</v>
      </c>
      <c r="H70" s="25">
        <f>SUMIF('Forcasted Customer Cts'!$D$5:$D$36,'Jul17-Jun18 Transport'!$E70,'Forcasted Customer Cts'!$Y$5:$Y$36)</f>
        <v>73</v>
      </c>
      <c r="I70" s="25"/>
      <c r="J70" s="25"/>
      <c r="K70" s="25">
        <f>SUMIF('Forecasted Calendar Month Usage'!$D$5:$D$41,'Jul17-Jun18 Transport'!$E70,'Forecasted Calendar Month Usage'!$AG$5:$AG$41)*10</f>
        <v>7747039.0350928297</v>
      </c>
      <c r="L70" s="25"/>
      <c r="M70" s="25">
        <v>69</v>
      </c>
      <c r="N70" s="25"/>
      <c r="O70" s="26">
        <f>VLOOKUP($E70,'Retail Rates'!$B$7:$L$34,5,FALSE)</f>
        <v>0</v>
      </c>
      <c r="P70" s="26">
        <f>VLOOKUP($E70,'Retail Rates'!$B$7:$L$34,6,FALSE)</f>
        <v>0</v>
      </c>
      <c r="Q70" s="26">
        <f>VLOOKUP($E70,'Retail Rates'!$B$7:$L$34,9,FALSE)</f>
        <v>550</v>
      </c>
      <c r="R70" s="27">
        <f>VLOOKUP($E70,'Retail Rates'!$B$7:$L$34,7,FALSE)</f>
        <v>4.3020000000000003E-2</v>
      </c>
      <c r="S70" s="27">
        <f>VLOOKUP($E70,'Retail Rates'!$B$7:$L$34,8,FALSE)</f>
        <v>0</v>
      </c>
      <c r="T70" s="309">
        <v>75</v>
      </c>
      <c r="U70" s="26">
        <f>VLOOKUP($E70,'Retail Rates'!$B$7:$L$34,11,FALSE)</f>
        <v>0</v>
      </c>
      <c r="V70" s="27"/>
      <c r="W70" s="309"/>
      <c r="X70" s="28">
        <f t="shared" ref="X70:X71" si="288">(+H70*O70)+(I70*O70)</f>
        <v>0</v>
      </c>
      <c r="Y70" s="28">
        <f>J70*P70</f>
        <v>0</v>
      </c>
      <c r="Z70" s="28">
        <f>H70*Q70</f>
        <v>40150</v>
      </c>
      <c r="AA70" s="28">
        <f t="shared" ref="AA70:AA75" si="289">+K70*R70</f>
        <v>333277.61928969354</v>
      </c>
      <c r="AB70" s="28">
        <f>+L70*S70</f>
        <v>0</v>
      </c>
      <c r="AC70" s="28">
        <f>M70*T70</f>
        <v>5175</v>
      </c>
      <c r="AD70" s="28">
        <f>H70*V70</f>
        <v>0</v>
      </c>
      <c r="AE70" s="28"/>
      <c r="AF70" s="28">
        <f t="shared" ref="AF70:AF74" si="290">N70*U70</f>
        <v>0</v>
      </c>
      <c r="AG70" s="28"/>
      <c r="AH70" s="48">
        <f ca="1">SUMIFS(Adjustments!H$5:H$557,Adjustments!$B$5:$B$557,'Jul17-Jun18 Retail'!$D70,Adjustments!$C$5:$C$557,'Jul17-Jun18 Retail'!$E70)</f>
        <v>0</v>
      </c>
      <c r="AI70" s="48">
        <f ca="1">SUMIFS(Adjustments!I$5:I$557,Adjustments!$B$5:$B$557,'Jul17-Jun18 Retail'!$D70,Adjustments!$C$5:$C$557,'Jul17-Jun18 Retail'!$E70)</f>
        <v>0</v>
      </c>
      <c r="AJ70" s="40">
        <f ca="1">SUMIFS(Adjustments!J$5:J$557,Adjustments!$B$5:$B$557,'Jul17-Jun18 Retail'!$D70,Adjustments!$C$5:$C$557,'Jul17-Jun18 Retail'!$E70)</f>
        <v>0</v>
      </c>
      <c r="AK70" s="40">
        <f ca="1">SUMIFS(Adjustments!K$5:K$557,Adjustments!$B$5:$B$557,'Jul17-Jun18 Retail'!$D70,Adjustments!$C$5:$C$557,'Jul17-Jun18 Retail'!$E70)</f>
        <v>0</v>
      </c>
      <c r="AL70" s="40">
        <f ca="1">SUMIFS(Adjustments!L$5:L$557,Adjustments!$B$5:$B$557,'Jul17-Jun18 Retail'!$D70,Adjustments!$C$5:$C$557,'Jul17-Jun18 Retail'!$E70)</f>
        <v>0</v>
      </c>
      <c r="AM70" s="40">
        <f ca="1">SUMIFS(Adjustments!M$5:M$557,Adjustments!$B$5:$B$557,'Jul17-Jun18 Retail'!$D70,Adjustments!$C$5:$C$557,'Jul17-Jun18 Retail'!$E70)</f>
        <v>0</v>
      </c>
      <c r="AN70" s="40">
        <f ca="1">SUMIFS(Adjustments!N$5:N$557,Adjustments!$B$5:$B$557,'Jul17-Jun18 Retail'!$D70,Adjustments!$C$5:$C$557,'Jul17-Jun18 Retail'!$E70)</f>
        <v>0</v>
      </c>
      <c r="AO70" s="40">
        <f ca="1">SUMIFS(Adjustments!O$5:O$557,Adjustments!$B$5:$B$557,'Jul17-Jun18 Retail'!$D70,Adjustments!$C$5:$C$557,'Jul17-Jun18 Retail'!$E70)</f>
        <v>0</v>
      </c>
      <c r="AP70" s="40">
        <f ca="1">SUMIFS(Adjustments!P$5:P$557,Adjustments!$B$5:$B$557,'Jul17-Jun18 Retail'!$D70,Adjustments!$C$5:$C$557,'Jul17-Jun18 Retail'!$E70)</f>
        <v>0</v>
      </c>
      <c r="AQ70" s="28">
        <f t="shared" ref="AQ70:AQ75" ca="1" si="291">+X70+AJ70+(AH70*O70)</f>
        <v>0</v>
      </c>
      <c r="AR70" s="28">
        <f ca="1">+Y70+AK70</f>
        <v>0</v>
      </c>
      <c r="AS70" s="28">
        <f t="shared" ref="AS70:AS75" ca="1" si="292">+AA70+AL70</f>
        <v>333277.61928969354</v>
      </c>
      <c r="AT70" s="28">
        <f t="shared" ref="AT70:AT75" ca="1" si="293">+AB70+AM70</f>
        <v>0</v>
      </c>
      <c r="AU70" s="28">
        <f>Z70</f>
        <v>40150</v>
      </c>
      <c r="AV70" s="28">
        <f>AC70</f>
        <v>5175</v>
      </c>
      <c r="AW70" s="35">
        <f>BG70</f>
        <v>0</v>
      </c>
      <c r="AX70" s="35">
        <f>BF70</f>
        <v>144386.61371317712</v>
      </c>
      <c r="AY70" s="35">
        <f>BH70</f>
        <v>0</v>
      </c>
      <c r="AZ70" s="35">
        <f t="shared" ref="AZ70:AZ75" si="294">BN70</f>
        <v>0</v>
      </c>
      <c r="BA70" s="28">
        <f t="shared" ref="BA70:BA75" ca="1" si="295">+AF70+AP70</f>
        <v>0</v>
      </c>
      <c r="BB70" s="28"/>
      <c r="BC70" s="35">
        <f t="shared" ref="BC70:BC71" ca="1" si="296">ROUND(SUM(AQ70:BB70),2)</f>
        <v>522989.23</v>
      </c>
      <c r="BD70" s="35">
        <f>SUM(BF70:BN70)</f>
        <v>522989.23298984265</v>
      </c>
      <c r="BE70" s="36">
        <f t="shared" ref="BE70:BE75" ca="1" si="297">IF(BD70=0,0,ROUND(BD70/BC70,6))</f>
        <v>1</v>
      </c>
      <c r="BF70" s="35">
        <f>SUMIFS('Fin Forecast'!$T$3:$T$600,'Fin Forecast'!$B$3:$B$600,'Jul17-Jun18 Transport'!$E70,'Fin Forecast'!$C$3:$C$600,'Jul17-Jun18 Transport'!$BF$5)*1000</f>
        <v>144386.61371317712</v>
      </c>
      <c r="BG70" s="35">
        <f>SUMIFS('Fin Forecast'!$T$3:$T$600,'Fin Forecast'!$B$3:$B$600,'Jul17-Jun18 Transport'!$E70,'Fin Forecast'!$C$3:$C$600,'Jul17-Jun18 Transport'!$BG$5)*1000</f>
        <v>0</v>
      </c>
      <c r="BH70" s="35"/>
      <c r="BI70" s="35">
        <f>SUMIFS('Fin Forecast'!$T$3:$T$600,'Fin Forecast'!$B$3:$B$600,'Jul17-Jun18 Transport'!$E70,'Fin Forecast'!$C$3:$C$600,'Jul17-Jun18 Transport'!$BI$5)*1000</f>
        <v>5175</v>
      </c>
      <c r="BJ70" s="35">
        <f>SUMIFS('Fin Forecast'!$T$3:$T$600,'Fin Forecast'!$B$3:$B$600,'Jul17-Jun18 Transport'!$E70,'Fin Forecast'!$C$3:$C$600,'Jul17-Jun18 Transport'!$BJ$5)*1000</f>
        <v>40150</v>
      </c>
      <c r="BK70" s="35">
        <f>SUMIFS('Fin Forecast'!$T$3:$T$600,'Fin Forecast'!$B$3:$B$600,'Jul17-Jun18 Transport'!$E70,'Fin Forecast'!$C$3:$C$600,'Jul17-Jun18 Transport'!$BK$5)*1000</f>
        <v>0</v>
      </c>
      <c r="BL70" s="35">
        <f>SUMIFS('Fin Forecast'!$T$3:$T$600,'Fin Forecast'!$B$3:$B$600,'Jul17-Jun18 Transport'!$E70,'Fin Forecast'!$C$3:$C$600,'Jul17-Jun18 Transport'!$BL$5)*1000</f>
        <v>333277.61927666556</v>
      </c>
      <c r="BM70" s="35">
        <f>SUMIFS('Fin Forecast'!$T$3:$T$600,'Fin Forecast'!$B$3:$B$600,'Jul17-Jun18 Transport'!$E70,'Fin Forecast'!$C$3:$C$600,'Jul17-Jun18 Transport'!$BM$5)*1000</f>
        <v>0</v>
      </c>
      <c r="BN70" s="35">
        <f>SUMIFS('Fin Forecast'!$T$3:$T$600,'Fin Forecast'!$B$3:$B$600,'Jul17-Jun18 Transport'!$E70,'Fin Forecast'!$C$3:$C$600,'Jul17-Jun18 Transport'!$BN$5)*1000</f>
        <v>0</v>
      </c>
      <c r="BP70" s="44">
        <f t="shared" ref="BP70:BP75" ca="1" si="298">+BC70-BD70</f>
        <v>-2.9898426728323102E-3</v>
      </c>
      <c r="BR70" s="49">
        <f t="shared" ref="BR70:BR75" ca="1" si="299">+AQ70+AR70-BK70</f>
        <v>0</v>
      </c>
      <c r="BS70" s="49">
        <f t="shared" ref="BS70:BS75" ca="1" si="300">+AS70+AT70-BL70</f>
        <v>1.3027980457991362E-5</v>
      </c>
      <c r="BT70" s="49">
        <f t="shared" ref="BT70:BT75" si="301">+AW70-BG70</f>
        <v>0</v>
      </c>
    </row>
    <row r="71" spans="1:72" ht="15" x14ac:dyDescent="0.25">
      <c r="C71" s="6">
        <f>C70+1</f>
        <v>56</v>
      </c>
      <c r="D71" s="361">
        <f>$D$70</f>
        <v>43191</v>
      </c>
      <c r="E71" s="361" t="s">
        <v>43</v>
      </c>
      <c r="F71" s="6" t="str">
        <f t="shared" ref="F71:F75" si="302">MID(E71,6,3)</f>
        <v>896</v>
      </c>
      <c r="G71" s="6" t="str">
        <f>VLOOKUP(E71,'Retail Rates'!$B$7:$D$34,3,FALSE)</f>
        <v>FT-I</v>
      </c>
      <c r="H71" s="25">
        <f>SUMIF('Forcasted Customer Cts'!$D$5:$D$36,'Jul17-Jun18 Transport'!$E71,'Forcasted Customer Cts'!$Y$5:$Y$36)</f>
        <v>0</v>
      </c>
      <c r="I71" s="25"/>
      <c r="J71" s="25"/>
      <c r="K71" s="25">
        <f>SUMIF('Forecasted Calendar Month Usage'!$D$5:$D$41,'Jul17-Jun18 Transport'!$E71,'Forecasted Calendar Month Usage'!$AG$5:$AG$41)*10</f>
        <v>0</v>
      </c>
      <c r="L71" s="25"/>
      <c r="M71" s="25"/>
      <c r="N71" s="25"/>
      <c r="O71" s="26">
        <f>VLOOKUP($E71,'Retail Rates'!$B$7:$L$34,5,FALSE)</f>
        <v>0</v>
      </c>
      <c r="P71" s="26">
        <f>VLOOKUP($E71,'Retail Rates'!$B$7:$L$34,6,FALSE)</f>
        <v>0</v>
      </c>
      <c r="Q71" s="26">
        <f>VLOOKUP($E71,'Retail Rates'!$B$7:$L$34,9,FALSE)</f>
        <v>550</v>
      </c>
      <c r="R71" s="27">
        <f>VLOOKUP($E71,'Retail Rates'!$B$7:$L$34,7,FALSE)</f>
        <v>4.3020000000000003E-2</v>
      </c>
      <c r="S71" s="27">
        <f>VLOOKUP($E71,'Retail Rates'!$B$7:$L$34,8,FALSE)</f>
        <v>0</v>
      </c>
      <c r="T71" s="309">
        <v>75</v>
      </c>
      <c r="U71" s="26">
        <f>VLOOKUP($E71,'Retail Rates'!$B$7:$L$34,11,FALSE)</f>
        <v>0</v>
      </c>
      <c r="V71" s="27"/>
      <c r="W71" s="309"/>
      <c r="X71" s="28">
        <f t="shared" si="288"/>
        <v>0</v>
      </c>
      <c r="Y71" s="28">
        <f t="shared" ref="Y71:Y75" si="303">J71*P71</f>
        <v>0</v>
      </c>
      <c r="Z71" s="28">
        <f>H71*Q71</f>
        <v>0</v>
      </c>
      <c r="AA71" s="28">
        <f t="shared" si="289"/>
        <v>0</v>
      </c>
      <c r="AB71" s="28">
        <f t="shared" ref="AB71:AB75" si="304">+L71*S71</f>
        <v>0</v>
      </c>
      <c r="AC71" s="28">
        <f t="shared" ref="AC71:AC75" si="305">M71*T71</f>
        <v>0</v>
      </c>
      <c r="AD71" s="28">
        <f t="shared" ref="AD71" si="306">H71*V71</f>
        <v>0</v>
      </c>
      <c r="AE71" s="28"/>
      <c r="AF71" s="28">
        <f t="shared" si="290"/>
        <v>0</v>
      </c>
      <c r="AG71" s="28"/>
      <c r="AH71" s="48">
        <f ca="1">SUMIFS(Adjustments!H$5:H$557,Adjustments!$B$5:$B$557,'Jul17-Jun18 Retail'!$D71,Adjustments!$C$5:$C$557,'Jul17-Jun18 Retail'!$E71)</f>
        <v>0</v>
      </c>
      <c r="AI71" s="48">
        <f ca="1">SUMIFS(Adjustments!I$5:I$557,Adjustments!$B$5:$B$557,'Jul17-Jun18 Retail'!$D71,Adjustments!$C$5:$C$557,'Jul17-Jun18 Retail'!$E71)</f>
        <v>0</v>
      </c>
      <c r="AJ71" s="40">
        <f ca="1">SUMIFS(Adjustments!J$5:J$557,Adjustments!$B$5:$B$557,'Jul17-Jun18 Retail'!$D71,Adjustments!$C$5:$C$557,'Jul17-Jun18 Retail'!$E71)</f>
        <v>0</v>
      </c>
      <c r="AK71" s="40">
        <f ca="1">SUMIFS(Adjustments!K$5:K$557,Adjustments!$B$5:$B$557,'Jul17-Jun18 Retail'!$D71,Adjustments!$C$5:$C$557,'Jul17-Jun18 Retail'!$E71)</f>
        <v>0</v>
      </c>
      <c r="AL71" s="40">
        <f ca="1">SUMIFS(Adjustments!L$5:L$557,Adjustments!$B$5:$B$557,'Jul17-Jun18 Retail'!$D71,Adjustments!$C$5:$C$557,'Jul17-Jun18 Retail'!$E71)</f>
        <v>0</v>
      </c>
      <c r="AM71" s="40">
        <f ca="1">SUMIFS(Adjustments!M$5:M$557,Adjustments!$B$5:$B$557,'Jul17-Jun18 Retail'!$D71,Adjustments!$C$5:$C$557,'Jul17-Jun18 Retail'!$E71)</f>
        <v>0</v>
      </c>
      <c r="AN71" s="40">
        <f ca="1">SUMIFS(Adjustments!N$5:N$557,Adjustments!$B$5:$B$557,'Jul17-Jun18 Retail'!$D71,Adjustments!$C$5:$C$557,'Jul17-Jun18 Retail'!$E71)</f>
        <v>0</v>
      </c>
      <c r="AO71" s="40">
        <f ca="1">SUMIFS(Adjustments!O$5:O$557,Adjustments!$B$5:$B$557,'Jul17-Jun18 Retail'!$D71,Adjustments!$C$5:$C$557,'Jul17-Jun18 Retail'!$E71)</f>
        <v>0</v>
      </c>
      <c r="AP71" s="40">
        <f ca="1">SUMIFS(Adjustments!P$5:P$557,Adjustments!$B$5:$B$557,'Jul17-Jun18 Retail'!$D71,Adjustments!$C$5:$C$557,'Jul17-Jun18 Retail'!$E71)</f>
        <v>0</v>
      </c>
      <c r="AQ71" s="28">
        <f t="shared" ca="1" si="291"/>
        <v>0</v>
      </c>
      <c r="AR71" s="28">
        <f t="shared" ref="AR71:AR75" ca="1" si="307">+Y71+AK71</f>
        <v>0</v>
      </c>
      <c r="AS71" s="28">
        <f t="shared" ca="1" si="292"/>
        <v>0</v>
      </c>
      <c r="AT71" s="28">
        <f t="shared" ca="1" si="293"/>
        <v>0</v>
      </c>
      <c r="AU71" s="28">
        <f t="shared" ref="AU71:AU75" si="308">Z71</f>
        <v>0</v>
      </c>
      <c r="AV71" s="28">
        <f t="shared" ref="AV71:AV75" si="309">AC71</f>
        <v>0</v>
      </c>
      <c r="AW71" s="35">
        <f t="shared" ref="AW71:AW75" si="310">BG71</f>
        <v>0</v>
      </c>
      <c r="AX71" s="35">
        <f t="shared" ref="AX71:AX75" si="311">BF71</f>
        <v>0</v>
      </c>
      <c r="AY71" s="35">
        <f t="shared" ref="AY71:AY75" si="312">BH71</f>
        <v>0</v>
      </c>
      <c r="AZ71" s="35">
        <f t="shared" si="294"/>
        <v>0</v>
      </c>
      <c r="BA71" s="28">
        <f t="shared" ca="1" si="295"/>
        <v>0</v>
      </c>
      <c r="BB71" s="28"/>
      <c r="BC71" s="35">
        <f t="shared" ca="1" si="296"/>
        <v>0</v>
      </c>
      <c r="BD71" s="35">
        <f t="shared" ref="BD71:BD75" si="313">SUM(BF71:BN71)</f>
        <v>0</v>
      </c>
      <c r="BE71" s="36">
        <f t="shared" si="297"/>
        <v>0</v>
      </c>
      <c r="BF71" s="35">
        <f>SUMIFS('Fin Forecast'!$T$3:$T$600,'Fin Forecast'!$B$3:$B$600,'Jul17-Jun18 Transport'!$E71,'Fin Forecast'!$C$3:$C$600,'Jul17-Jun18 Transport'!$BF$5)*1000</f>
        <v>0</v>
      </c>
      <c r="BG71" s="35">
        <f>SUMIFS('Fin Forecast'!$T$3:$T$600,'Fin Forecast'!$B$3:$B$600,'Jul17-Jun18 Transport'!$E71,'Fin Forecast'!$C$3:$C$600,'Jul17-Jun18 Transport'!$BG$5)*1000</f>
        <v>0</v>
      </c>
      <c r="BH71" s="35"/>
      <c r="BI71" s="35">
        <f>SUMIFS('Fin Forecast'!$T$3:$T$600,'Fin Forecast'!$B$3:$B$600,'Jul17-Jun18 Transport'!$E71,'Fin Forecast'!$C$3:$C$600,'Jul17-Jun18 Transport'!$BI$5)*1000</f>
        <v>0</v>
      </c>
      <c r="BJ71" s="35">
        <f>SUMIFS('Fin Forecast'!$T$3:$T$600,'Fin Forecast'!$B$3:$B$600,'Jul17-Jun18 Transport'!$E71,'Fin Forecast'!$C$3:$C$600,'Jul17-Jun18 Transport'!$BJ$5)*1000</f>
        <v>0</v>
      </c>
      <c r="BK71" s="35">
        <f>SUMIFS('Fin Forecast'!$T$3:$T$600,'Fin Forecast'!$B$3:$B$600,'Jul17-Jun18 Transport'!$E71,'Fin Forecast'!$C$3:$C$600,'Jul17-Jun18 Transport'!$BK$5)*1000</f>
        <v>0</v>
      </c>
      <c r="BL71" s="35">
        <f>SUMIFS('Fin Forecast'!$T$3:$T$600,'Fin Forecast'!$B$3:$B$600,'Jul17-Jun18 Transport'!$E71,'Fin Forecast'!$C$3:$C$600,'Jul17-Jun18 Transport'!$BL$5)*1000</f>
        <v>0</v>
      </c>
      <c r="BM71" s="35">
        <f>SUMIFS('Fin Forecast'!$T$3:$T$600,'Fin Forecast'!$B$3:$B$600,'Jul17-Jun18 Transport'!$E71,'Fin Forecast'!$C$3:$C$600,'Jul17-Jun18 Transport'!$BM$5)*1000</f>
        <v>0</v>
      </c>
      <c r="BN71" s="35">
        <f>SUMIFS('Fin Forecast'!$T$3:$T$600,'Fin Forecast'!$B$3:$B$600,'Jul17-Jun18 Transport'!$E71,'Fin Forecast'!$C$3:$C$600,'Jul17-Jun18 Transport'!$BN$5)*1000</f>
        <v>0</v>
      </c>
      <c r="BP71" s="44">
        <f t="shared" ca="1" si="298"/>
        <v>0</v>
      </c>
      <c r="BR71" s="49">
        <f t="shared" ca="1" si="299"/>
        <v>0</v>
      </c>
      <c r="BS71" s="49">
        <f t="shared" ca="1" si="300"/>
        <v>0</v>
      </c>
      <c r="BT71" s="49">
        <f t="shared" si="301"/>
        <v>0</v>
      </c>
    </row>
    <row r="72" spans="1:72" ht="15" x14ac:dyDescent="0.25">
      <c r="A72" s="304"/>
      <c r="B72" s="13" t="s">
        <v>444</v>
      </c>
      <c r="C72" s="6">
        <f t="shared" ref="C72:C75" si="314">C71+1</f>
        <v>57</v>
      </c>
      <c r="D72" s="361">
        <f t="shared" ref="D72:D75" si="315">$D$70</f>
        <v>43191</v>
      </c>
      <c r="E72" s="361" t="s">
        <v>31</v>
      </c>
      <c r="F72" s="6" t="str">
        <f t="shared" si="302"/>
        <v>882</v>
      </c>
      <c r="G72" s="6" t="str">
        <f>VLOOKUP(E72,'Retail Rates'!$B$7:$D$34,3,FALSE)</f>
        <v>IGS-TS-2</v>
      </c>
      <c r="H72" s="25"/>
      <c r="I72" s="25"/>
      <c r="J72" s="25">
        <f>SUMIFS('Forcasted Customer Cts'!$Y$5:$Y$36,'Forcasted Customer Cts'!$D$5:$D$36,$E72,'Forcasted Customer Cts'!$C$5:$C$36,$B72)</f>
        <v>5</v>
      </c>
      <c r="K72" s="25">
        <v>5000</v>
      </c>
      <c r="L72" s="25">
        <f>(SUMIF('Forecasted Calendar Month Usage'!$D$5:$D$41,'Jul17-Jun18 Transport'!$E72,'Forecasted Calendar Month Usage'!$AG$5:$AG$41)*10)-K72</f>
        <v>320976.63380023872</v>
      </c>
      <c r="M72" s="25">
        <v>2</v>
      </c>
      <c r="N72" s="25"/>
      <c r="O72" s="26">
        <f>VLOOKUP($E72,'Retail Rates'!$B$7:$L$34,5,FALSE)</f>
        <v>40</v>
      </c>
      <c r="P72" s="26">
        <f>VLOOKUP($E72,'Retail Rates'!$B$7:$L$34,6,FALSE)</f>
        <v>180</v>
      </c>
      <c r="Q72" s="26">
        <f>VLOOKUP($E72,'Retail Rates'!$B$7:$L$34,9,FALSE)</f>
        <v>550</v>
      </c>
      <c r="R72" s="27">
        <f>VLOOKUP($E72,'Retail Rates'!$B$7:$L$34,7,FALSE)</f>
        <v>0.22778999999999999</v>
      </c>
      <c r="S72" s="27">
        <f>VLOOKUP($E72,'Retail Rates'!$B$7:$L$34,8,FALSE)</f>
        <v>0.17779</v>
      </c>
      <c r="T72" s="309">
        <v>75</v>
      </c>
      <c r="U72" s="26">
        <f>VLOOKUP($E72,'Retail Rates'!$B$7:$L$34,11,FALSE)</f>
        <v>0</v>
      </c>
      <c r="V72" s="309"/>
      <c r="W72" s="309"/>
      <c r="X72" s="28">
        <f>(+H72*O72)+(I72*O72)</f>
        <v>0</v>
      </c>
      <c r="Y72" s="28">
        <f t="shared" si="303"/>
        <v>900</v>
      </c>
      <c r="Z72" s="28">
        <f>(I72+J72)*Q72</f>
        <v>2750</v>
      </c>
      <c r="AA72" s="28">
        <f t="shared" si="289"/>
        <v>1138.95</v>
      </c>
      <c r="AB72" s="28">
        <f t="shared" si="304"/>
        <v>57066.435723344446</v>
      </c>
      <c r="AC72" s="28">
        <f t="shared" si="305"/>
        <v>150</v>
      </c>
      <c r="AD72" s="28">
        <f>(I72+J72)*V72</f>
        <v>0</v>
      </c>
      <c r="AE72" s="28"/>
      <c r="AF72" s="28">
        <f t="shared" si="290"/>
        <v>0</v>
      </c>
      <c r="AG72" s="28"/>
      <c r="AH72" s="48">
        <f ca="1">SUMIFS(Adjustments!H$5:H$557,Adjustments!$B$5:$B$557,'Jul17-Jun18 Retail'!#REF!,Adjustments!$C$5:$C$557,'Jul17-Jun18 Retail'!#REF!)</f>
        <v>0</v>
      </c>
      <c r="AI72" s="48">
        <f ca="1">SUMIFS(Adjustments!I$5:I$557,Adjustments!$B$5:$B$557,'Jul17-Jun18 Retail'!#REF!,Adjustments!$C$5:$C$557,'Jul17-Jun18 Retail'!#REF!)</f>
        <v>0</v>
      </c>
      <c r="AJ72" s="40">
        <f ca="1">SUMIFS(Adjustments!J$5:J$557,Adjustments!$B$5:$B$557,'Jul17-Jun18 Retail'!#REF!,Adjustments!$C$5:$C$557,'Jul17-Jun18 Retail'!#REF!)</f>
        <v>0</v>
      </c>
      <c r="AK72" s="40">
        <f ca="1">SUMIFS(Adjustments!K$5:K$557,Adjustments!$B$5:$B$557,'Jul17-Jun18 Retail'!#REF!,Adjustments!$C$5:$C$557,'Jul17-Jun18 Retail'!#REF!)</f>
        <v>0</v>
      </c>
      <c r="AL72" s="40">
        <f ca="1">SUMIFS(Adjustments!L$5:L$557,Adjustments!$B$5:$B$557,'Jul17-Jun18 Retail'!#REF!,Adjustments!$C$5:$C$557,'Jul17-Jun18 Retail'!#REF!)</f>
        <v>0</v>
      </c>
      <c r="AM72" s="40">
        <f ca="1">SUMIFS(Adjustments!M$5:M$557,Adjustments!$B$5:$B$557,'Jul17-Jun18 Retail'!#REF!,Adjustments!$C$5:$C$557,'Jul17-Jun18 Retail'!#REF!)</f>
        <v>0</v>
      </c>
      <c r="AN72" s="40">
        <f ca="1">SUMIFS(Adjustments!N$5:N$557,Adjustments!$B$5:$B$557,'Jul17-Jun18 Retail'!#REF!,Adjustments!$C$5:$C$557,'Jul17-Jun18 Retail'!#REF!)</f>
        <v>0</v>
      </c>
      <c r="AO72" s="40">
        <f ca="1">SUMIFS(Adjustments!O$5:O$557,Adjustments!$B$5:$B$557,'Jul17-Jun18 Retail'!#REF!,Adjustments!$C$5:$C$557,'Jul17-Jun18 Retail'!#REF!)</f>
        <v>0</v>
      </c>
      <c r="AP72" s="40">
        <f ca="1">SUMIFS(Adjustments!P$5:P$557,Adjustments!$B$5:$B$557,'Jul17-Jun18 Retail'!#REF!,Adjustments!$C$5:$C$557,'Jul17-Jun18 Retail'!#REF!)</f>
        <v>0</v>
      </c>
      <c r="AQ72" s="28">
        <f t="shared" ca="1" si="291"/>
        <v>0</v>
      </c>
      <c r="AR72" s="28">
        <f t="shared" ca="1" si="307"/>
        <v>900</v>
      </c>
      <c r="AS72" s="28">
        <f t="shared" ca="1" si="292"/>
        <v>1138.95</v>
      </c>
      <c r="AT72" s="28">
        <f t="shared" ca="1" si="293"/>
        <v>57066.435723344446</v>
      </c>
      <c r="AU72" s="28">
        <f t="shared" si="308"/>
        <v>2750</v>
      </c>
      <c r="AV72" s="28">
        <f t="shared" si="309"/>
        <v>150</v>
      </c>
      <c r="AW72" s="35">
        <f t="shared" si="310"/>
        <v>0</v>
      </c>
      <c r="AX72" s="35">
        <f t="shared" si="311"/>
        <v>0</v>
      </c>
      <c r="AY72" s="35">
        <f t="shared" si="312"/>
        <v>0</v>
      </c>
      <c r="AZ72" s="35">
        <f t="shared" si="294"/>
        <v>6618.3955208963298</v>
      </c>
      <c r="BA72" s="28">
        <f t="shared" ca="1" si="295"/>
        <v>0</v>
      </c>
      <c r="BB72" s="28"/>
      <c r="BC72" s="35">
        <f ca="1">ROUND(SUM(AQ72:BB72),2)</f>
        <v>68623.78</v>
      </c>
      <c r="BD72" s="35">
        <f t="shared" si="313"/>
        <v>68623.781242420431</v>
      </c>
      <c r="BE72" s="36">
        <f t="shared" ca="1" si="297"/>
        <v>1</v>
      </c>
      <c r="BF72" s="35">
        <f>SUMIFS('Fin Forecast'!$T$3:$T$600,'Fin Forecast'!$B$3:$B$600,'Jul17-Jun18 Transport'!$E72,'Fin Forecast'!$C$3:$C$600,'Jul17-Jun18 Transport'!$BF$5)*1000</f>
        <v>0</v>
      </c>
      <c r="BG72" s="35">
        <f>SUMIFS('Fin Forecast'!$T$3:$T$600,'Fin Forecast'!$B$3:$B$600,'Jul17-Jun18 Transport'!$E72,'Fin Forecast'!$C$3:$C$600,'Jul17-Jun18 Transport'!$BG$5)*1000</f>
        <v>0</v>
      </c>
      <c r="BH72" s="35"/>
      <c r="BI72" s="35">
        <f>SUMIFS('Fin Forecast'!$T$3:$T$600,'Fin Forecast'!$B$3:$B$600,'Jul17-Jun18 Transport'!$E72,'Fin Forecast'!$C$3:$C$600,'Jul17-Jun18 Transport'!$BI$5)*1000</f>
        <v>150</v>
      </c>
      <c r="BJ72" s="35">
        <f>SUMIFS('Fin Forecast'!$T$3:$T$600,'Fin Forecast'!$B$3:$B$600,'Jul17-Jun18 Transport'!$E72,'Fin Forecast'!$C$3:$C$600,'Jul17-Jun18 Transport'!$BJ$5)*1000</f>
        <v>2750</v>
      </c>
      <c r="BK72" s="35">
        <f>SUMIFS('Fin Forecast'!$T$3:$T$600,'Fin Forecast'!$B$3:$B$600,'Jul17-Jun18 Transport'!$E72,'Fin Forecast'!$C$3:$C$600,'Jul17-Jun18 Transport'!$BK$5)*1000</f>
        <v>900</v>
      </c>
      <c r="BL72" s="35">
        <f>SUMIFS('Fin Forecast'!$T$3:$T$600,'Fin Forecast'!$B$3:$B$600,'Jul17-Jun18 Transport'!$E72,'Fin Forecast'!$C$3:$C$600,'Jul17-Jun18 Transport'!$BL$5)*1000</f>
        <v>58205.385721524101</v>
      </c>
      <c r="BM72" s="35">
        <f>SUMIFS('Fin Forecast'!$T$3:$T$600,'Fin Forecast'!$B$3:$B$600,'Jul17-Jun18 Transport'!$E72,'Fin Forecast'!$C$3:$C$600,'Jul17-Jun18 Transport'!$BM$5)*1000</f>
        <v>0</v>
      </c>
      <c r="BN72" s="35">
        <f>SUMIFS('Fin Forecast'!$T$3:$T$600,'Fin Forecast'!$B$3:$B$600,'Jul17-Jun18 Transport'!$E72,'Fin Forecast'!$C$3:$C$600,'Jul17-Jun18 Transport'!$BN$5)*1000</f>
        <v>6618.3955208963298</v>
      </c>
      <c r="BP72" s="44">
        <f t="shared" ca="1" si="298"/>
        <v>-1.2424204323906451E-3</v>
      </c>
      <c r="BR72" s="49">
        <f t="shared" ca="1" si="299"/>
        <v>0</v>
      </c>
      <c r="BS72" s="49">
        <f t="shared" ca="1" si="300"/>
        <v>1.8203427316620946E-6</v>
      </c>
      <c r="BT72" s="49">
        <f t="shared" si="301"/>
        <v>0</v>
      </c>
    </row>
    <row r="73" spans="1:72" ht="15" x14ac:dyDescent="0.25">
      <c r="C73" s="6">
        <f t="shared" si="314"/>
        <v>58</v>
      </c>
      <c r="D73" s="361">
        <f t="shared" si="315"/>
        <v>43191</v>
      </c>
      <c r="E73" s="361" t="s">
        <v>87</v>
      </c>
      <c r="F73" s="6" t="str">
        <f t="shared" si="302"/>
        <v>892</v>
      </c>
      <c r="G73" s="6" t="str">
        <f>VLOOKUP(E73,'Retail Rates'!$B$7:$D$34,3,FALSE)</f>
        <v>AAGS-I-TS-2</v>
      </c>
      <c r="H73" s="25">
        <f>SUMIF('Forcasted Customer Cts'!$D$5:$D$36,'Jul17-Jun18 Transport'!$E73,'Forcasted Customer Cts'!$Y$5:$Y$36)</f>
        <v>2</v>
      </c>
      <c r="I73" s="25"/>
      <c r="J73" s="25"/>
      <c r="K73" s="25">
        <f>SUMIF('Forecasted Calendar Month Usage'!$D$5:$D$41,'Jul17-Jun18 Transport'!$E73,'Forecasted Calendar Month Usage'!$AG$5:$AG$41)*10</f>
        <v>153866.66585888478</v>
      </c>
      <c r="L73" s="25"/>
      <c r="M73" s="25"/>
      <c r="N73" s="25"/>
      <c r="O73" s="26">
        <f>VLOOKUP($E73,'Retail Rates'!$B$7:$L$34,5,FALSE)</f>
        <v>400</v>
      </c>
      <c r="P73" s="26">
        <f>VLOOKUP($E73,'Retail Rates'!$B$7:$L$34,6,FALSE)</f>
        <v>0</v>
      </c>
      <c r="Q73" s="26">
        <f>VLOOKUP($E73,'Retail Rates'!$B$7:$L$34,9,FALSE)</f>
        <v>550</v>
      </c>
      <c r="R73" s="27">
        <f>VLOOKUP($E73,'Retail Rates'!$B$7:$L$34,7,FALSE)</f>
        <v>7.009E-2</v>
      </c>
      <c r="S73" s="27">
        <f>VLOOKUP($E73,'Retail Rates'!$B$7:$L$34,8,FALSE)</f>
        <v>0</v>
      </c>
      <c r="T73" s="309">
        <v>75</v>
      </c>
      <c r="U73" s="26">
        <f>VLOOKUP($E73,'Retail Rates'!$B$7:$L$34,11,FALSE)</f>
        <v>0</v>
      </c>
      <c r="V73" s="309"/>
      <c r="W73" s="309"/>
      <c r="X73" s="28">
        <f t="shared" ref="X73:X75" si="316">(+H73*O73)+(I73*O73)</f>
        <v>800</v>
      </c>
      <c r="Y73" s="28">
        <f t="shared" si="303"/>
        <v>0</v>
      </c>
      <c r="Z73" s="28">
        <f t="shared" ref="Z73:Z75" si="317">H73*Q73</f>
        <v>1100</v>
      </c>
      <c r="AA73" s="28">
        <f t="shared" si="289"/>
        <v>10784.514610049235</v>
      </c>
      <c r="AB73" s="28">
        <f t="shared" si="304"/>
        <v>0</v>
      </c>
      <c r="AC73" s="28">
        <f t="shared" si="305"/>
        <v>0</v>
      </c>
      <c r="AD73" s="28">
        <f t="shared" ref="AD73:AD75" si="318">H73*V73</f>
        <v>0</v>
      </c>
      <c r="AE73" s="28"/>
      <c r="AF73" s="28">
        <f t="shared" si="290"/>
        <v>0</v>
      </c>
      <c r="AG73" s="28"/>
      <c r="AH73" s="48">
        <f ca="1">SUMIFS(Adjustments!H$5:H$557,Adjustments!$B$5:$B$557,'Jul17-Jun18 Retail'!$D72,Adjustments!$C$5:$C$557,'Jul17-Jun18 Retail'!$E72)</f>
        <v>0</v>
      </c>
      <c r="AI73" s="48">
        <f ca="1">SUMIFS(Adjustments!I$5:I$557,Adjustments!$B$5:$B$557,'Jul17-Jun18 Retail'!$D72,Adjustments!$C$5:$C$557,'Jul17-Jun18 Retail'!$E72)</f>
        <v>0</v>
      </c>
      <c r="AJ73" s="40">
        <f ca="1">SUMIFS(Adjustments!J$5:J$557,Adjustments!$B$5:$B$557,'Jul17-Jun18 Retail'!$D72,Adjustments!$C$5:$C$557,'Jul17-Jun18 Retail'!$E72)</f>
        <v>0</v>
      </c>
      <c r="AK73" s="40">
        <f ca="1">SUMIFS(Adjustments!K$5:K$557,Adjustments!$B$5:$B$557,'Jul17-Jun18 Retail'!$D72,Adjustments!$C$5:$C$557,'Jul17-Jun18 Retail'!$E72)</f>
        <v>0</v>
      </c>
      <c r="AL73" s="40">
        <f ca="1">SUMIFS(Adjustments!L$5:L$557,Adjustments!$B$5:$B$557,'Jul17-Jun18 Retail'!$D72,Adjustments!$C$5:$C$557,'Jul17-Jun18 Retail'!$E72)</f>
        <v>0</v>
      </c>
      <c r="AM73" s="40">
        <f ca="1">SUMIFS(Adjustments!M$5:M$557,Adjustments!$B$5:$B$557,'Jul17-Jun18 Retail'!$D72,Adjustments!$C$5:$C$557,'Jul17-Jun18 Retail'!$E72)</f>
        <v>0</v>
      </c>
      <c r="AN73" s="40">
        <f ca="1">SUMIFS(Adjustments!N$5:N$557,Adjustments!$B$5:$B$557,'Jul17-Jun18 Retail'!$D72,Adjustments!$C$5:$C$557,'Jul17-Jun18 Retail'!$E72)</f>
        <v>0</v>
      </c>
      <c r="AO73" s="40">
        <f ca="1">SUMIFS(Adjustments!O$5:O$557,Adjustments!$B$5:$B$557,'Jul17-Jun18 Retail'!$D72,Adjustments!$C$5:$C$557,'Jul17-Jun18 Retail'!$E72)</f>
        <v>0</v>
      </c>
      <c r="AP73" s="40">
        <f ca="1">SUMIFS(Adjustments!P$5:P$557,Adjustments!$B$5:$B$557,'Jul17-Jun18 Retail'!$D72,Adjustments!$C$5:$C$557,'Jul17-Jun18 Retail'!$E72)</f>
        <v>0</v>
      </c>
      <c r="AQ73" s="28">
        <f t="shared" ca="1" si="291"/>
        <v>800</v>
      </c>
      <c r="AR73" s="28">
        <f t="shared" ca="1" si="307"/>
        <v>0</v>
      </c>
      <c r="AS73" s="28">
        <f t="shared" ca="1" si="292"/>
        <v>10784.514610049235</v>
      </c>
      <c r="AT73" s="28">
        <f t="shared" ca="1" si="293"/>
        <v>0</v>
      </c>
      <c r="AU73" s="28">
        <f t="shared" si="308"/>
        <v>1100</v>
      </c>
      <c r="AV73" s="28">
        <f t="shared" si="309"/>
        <v>0</v>
      </c>
      <c r="AW73" s="35">
        <f t="shared" si="310"/>
        <v>0</v>
      </c>
      <c r="AX73" s="35">
        <f t="shared" si="311"/>
        <v>0</v>
      </c>
      <c r="AY73" s="35">
        <f t="shared" si="312"/>
        <v>0</v>
      </c>
      <c r="AZ73" s="35">
        <f t="shared" si="294"/>
        <v>4494.26478936477</v>
      </c>
      <c r="BA73" s="28">
        <f t="shared" ca="1" si="295"/>
        <v>0</v>
      </c>
      <c r="BB73" s="28"/>
      <c r="BC73" s="35">
        <f t="shared" ref="BC73:BC75" ca="1" si="319">ROUND(SUM(AQ73:BB73),2)</f>
        <v>17178.78</v>
      </c>
      <c r="BD73" s="35">
        <f t="shared" si="313"/>
        <v>17178.779399413972</v>
      </c>
      <c r="BE73" s="36">
        <f t="shared" ca="1" si="297"/>
        <v>1</v>
      </c>
      <c r="BF73" s="35">
        <f>SUMIFS('Fin Forecast'!$T$3:$T$600,'Fin Forecast'!$B$3:$B$600,'Jul17-Jun18 Transport'!$E73,'Fin Forecast'!$C$3:$C$600,'Jul17-Jun18 Transport'!$BF$5)*1000</f>
        <v>0</v>
      </c>
      <c r="BG73" s="35">
        <f>SUMIFS('Fin Forecast'!$T$3:$T$600,'Fin Forecast'!$B$3:$B$600,'Jul17-Jun18 Transport'!$E73,'Fin Forecast'!$C$3:$C$600,'Jul17-Jun18 Transport'!$BG$5)*1000</f>
        <v>0</v>
      </c>
      <c r="BH73" s="35"/>
      <c r="BI73" s="35">
        <f>SUMIFS('Fin Forecast'!$T$3:$T$600,'Fin Forecast'!$B$3:$B$600,'Jul17-Jun18 Transport'!$E73,'Fin Forecast'!$C$3:$C$600,'Jul17-Jun18 Transport'!$BI$5)*1000</f>
        <v>0</v>
      </c>
      <c r="BJ73" s="35">
        <f>SUMIFS('Fin Forecast'!$T$3:$T$600,'Fin Forecast'!$B$3:$B$600,'Jul17-Jun18 Transport'!$E73,'Fin Forecast'!$C$3:$C$600,'Jul17-Jun18 Transport'!$BJ$5)*1000</f>
        <v>1100</v>
      </c>
      <c r="BK73" s="35">
        <f>SUMIFS('Fin Forecast'!$T$3:$T$600,'Fin Forecast'!$B$3:$B$600,'Jul17-Jun18 Transport'!$E73,'Fin Forecast'!$C$3:$C$600,'Jul17-Jun18 Transport'!$BK$5)*1000</f>
        <v>800</v>
      </c>
      <c r="BL73" s="35">
        <f>SUMIFS('Fin Forecast'!$T$3:$T$600,'Fin Forecast'!$B$3:$B$600,'Jul17-Jun18 Transport'!$E73,'Fin Forecast'!$C$3:$C$600,'Jul17-Jun18 Transport'!$BL$5)*1000</f>
        <v>10784.5146100492</v>
      </c>
      <c r="BM73" s="35">
        <f>SUMIFS('Fin Forecast'!$T$3:$T$600,'Fin Forecast'!$B$3:$B$600,'Jul17-Jun18 Transport'!$E73,'Fin Forecast'!$C$3:$C$600,'Jul17-Jun18 Transport'!$BM$5)*1000</f>
        <v>0</v>
      </c>
      <c r="BN73" s="35">
        <f>SUMIFS('Fin Forecast'!$T$3:$T$600,'Fin Forecast'!$B$3:$B$600,'Jul17-Jun18 Transport'!$E73,'Fin Forecast'!$C$3:$C$600,'Jul17-Jun18 Transport'!$BN$5)*1000</f>
        <v>4494.26478936477</v>
      </c>
      <c r="BP73" s="44">
        <f t="shared" ca="1" si="298"/>
        <v>6.005860268487595E-4</v>
      </c>
      <c r="BR73" s="49">
        <f t="shared" ca="1" si="299"/>
        <v>0</v>
      </c>
      <c r="BS73" s="49">
        <f t="shared" ca="1" si="300"/>
        <v>3.4560798667371273E-11</v>
      </c>
      <c r="BT73" s="49">
        <f t="shared" si="301"/>
        <v>0</v>
      </c>
    </row>
    <row r="74" spans="1:72" ht="15" x14ac:dyDescent="0.25">
      <c r="C74" s="6">
        <f t="shared" si="314"/>
        <v>59</v>
      </c>
      <c r="D74" s="361">
        <f t="shared" si="315"/>
        <v>43191</v>
      </c>
      <c r="E74" s="361" t="s">
        <v>51</v>
      </c>
      <c r="F74" s="6" t="str">
        <f t="shared" si="302"/>
        <v>997</v>
      </c>
      <c r="G74" s="6" t="str">
        <f>VLOOKUP(E74,'Retail Rates'!$B$7:$D$34,3,FALSE)</f>
        <v>SPC-P</v>
      </c>
      <c r="H74" s="25">
        <f>SUMIF('Forcasted Customer Cts'!$D$5:$D$36,'Jul17-Jun18 Transport'!$E74,'Forcasted Customer Cts'!$Y$5:$Y$36)</f>
        <v>0</v>
      </c>
      <c r="I74" s="25"/>
      <c r="J74" s="25"/>
      <c r="K74" s="25">
        <f>SUMIF('Forecasted Calendar Month Usage'!$D$5:$D$41,'Jul17-Jun18 Transport'!$E74,'Forecasted Calendar Month Usage'!$AG$5:$AG$41)</f>
        <v>0</v>
      </c>
      <c r="L74" s="25"/>
      <c r="M74" s="25"/>
      <c r="N74" s="25"/>
      <c r="O74" s="26">
        <f>VLOOKUP($E74,'Retail Rates'!$B$7:$L$34,5,FALSE)</f>
        <v>800</v>
      </c>
      <c r="P74" s="26">
        <f>VLOOKUP($E74,'Retail Rates'!$B$7:$L$34,6,FALSE)</f>
        <v>0</v>
      </c>
      <c r="Q74" s="26">
        <f>VLOOKUP($E74,'Retail Rates'!$B$7:$L$34,9,FALSE)</f>
        <v>0</v>
      </c>
      <c r="R74" s="27">
        <f>VLOOKUP($E74,'Retail Rates'!$B$7:$L$34,7,FALSE)</f>
        <v>4.9699999999999996E-3</v>
      </c>
      <c r="S74" s="27">
        <f>VLOOKUP($E74,'Retail Rates'!$B$7:$L$34,8,FALSE)</f>
        <v>0</v>
      </c>
      <c r="T74" s="309">
        <v>0</v>
      </c>
      <c r="U74" s="403">
        <f>VLOOKUP($E74,'Retail Rates'!$B$7:$L$34,11,FALSE)</f>
        <v>0.24801000000000001</v>
      </c>
      <c r="V74" s="27"/>
      <c r="W74" s="309"/>
      <c r="X74" s="28">
        <f t="shared" si="316"/>
        <v>0</v>
      </c>
      <c r="Y74" s="28">
        <f t="shared" si="303"/>
        <v>0</v>
      </c>
      <c r="Z74" s="28">
        <f t="shared" si="317"/>
        <v>0</v>
      </c>
      <c r="AA74" s="28">
        <f t="shared" si="289"/>
        <v>0</v>
      </c>
      <c r="AB74" s="28">
        <f t="shared" si="304"/>
        <v>0</v>
      </c>
      <c r="AC74" s="28">
        <f t="shared" si="305"/>
        <v>0</v>
      </c>
      <c r="AD74" s="28">
        <f t="shared" si="318"/>
        <v>0</v>
      </c>
      <c r="AE74" s="28"/>
      <c r="AF74" s="28">
        <f t="shared" si="290"/>
        <v>0</v>
      </c>
      <c r="AG74" s="28"/>
      <c r="AH74" s="48">
        <f ca="1">SUMIFS(Adjustments!H$5:H$557,Adjustments!$B$5:$B$557,'Jul17-Jun18 Retail'!#REF!,Adjustments!$C$5:$C$557,'Jul17-Jun18 Retail'!#REF!)</f>
        <v>0</v>
      </c>
      <c r="AI74" s="48">
        <f ca="1">SUMIFS(Adjustments!I$5:I$557,Adjustments!$B$5:$B$557,'Jul17-Jun18 Retail'!#REF!,Adjustments!$C$5:$C$557,'Jul17-Jun18 Retail'!#REF!)</f>
        <v>0</v>
      </c>
      <c r="AJ74" s="40">
        <f ca="1">SUMIFS(Adjustments!J$5:J$557,Adjustments!$B$5:$B$557,'Jul17-Jun18 Retail'!#REF!,Adjustments!$C$5:$C$557,'Jul17-Jun18 Retail'!#REF!)</f>
        <v>0</v>
      </c>
      <c r="AK74" s="40">
        <f ca="1">SUMIFS(Adjustments!K$5:K$557,Adjustments!$B$5:$B$557,'Jul17-Jun18 Retail'!#REF!,Adjustments!$C$5:$C$557,'Jul17-Jun18 Retail'!#REF!)</f>
        <v>0</v>
      </c>
      <c r="AL74" s="40">
        <f ca="1">SUMIFS(Adjustments!L$5:L$557,Adjustments!$B$5:$B$557,'Jul17-Jun18 Retail'!#REF!,Adjustments!$C$5:$C$557,'Jul17-Jun18 Retail'!#REF!)</f>
        <v>0</v>
      </c>
      <c r="AM74" s="40">
        <f ca="1">SUMIFS(Adjustments!M$5:M$557,Adjustments!$B$5:$B$557,'Jul17-Jun18 Retail'!#REF!,Adjustments!$C$5:$C$557,'Jul17-Jun18 Retail'!#REF!)</f>
        <v>0</v>
      </c>
      <c r="AN74" s="40">
        <f ca="1">SUMIFS(Adjustments!N$5:N$557,Adjustments!$B$5:$B$557,'Jul17-Jun18 Retail'!#REF!,Adjustments!$C$5:$C$557,'Jul17-Jun18 Retail'!#REF!)</f>
        <v>0</v>
      </c>
      <c r="AO74" s="40">
        <f ca="1">SUMIFS(Adjustments!O$5:O$557,Adjustments!$B$5:$B$557,'Jul17-Jun18 Retail'!#REF!,Adjustments!$C$5:$C$557,'Jul17-Jun18 Retail'!#REF!)</f>
        <v>0</v>
      </c>
      <c r="AP74" s="40">
        <f ca="1">SUMIFS(Adjustments!P$5:P$557,Adjustments!$B$5:$B$557,'Jul17-Jun18 Retail'!#REF!,Adjustments!$C$5:$C$557,'Jul17-Jun18 Retail'!#REF!)</f>
        <v>0</v>
      </c>
      <c r="AQ74" s="28">
        <f t="shared" ca="1" si="291"/>
        <v>0</v>
      </c>
      <c r="AR74" s="28">
        <f t="shared" ca="1" si="307"/>
        <v>0</v>
      </c>
      <c r="AS74" s="28">
        <f t="shared" ca="1" si="292"/>
        <v>0</v>
      </c>
      <c r="AT74" s="28">
        <f t="shared" ca="1" si="293"/>
        <v>0</v>
      </c>
      <c r="AU74" s="28">
        <f t="shared" si="308"/>
        <v>0</v>
      </c>
      <c r="AV74" s="28">
        <f t="shared" si="309"/>
        <v>0</v>
      </c>
      <c r="AW74" s="35">
        <f t="shared" si="310"/>
        <v>0</v>
      </c>
      <c r="AX74" s="35">
        <f t="shared" si="311"/>
        <v>0</v>
      </c>
      <c r="AY74" s="35">
        <f t="shared" si="312"/>
        <v>0</v>
      </c>
      <c r="AZ74" s="35">
        <f t="shared" si="294"/>
        <v>0</v>
      </c>
      <c r="BA74" s="28">
        <f t="shared" ca="1" si="295"/>
        <v>0</v>
      </c>
      <c r="BB74" s="28"/>
      <c r="BC74" s="35">
        <f t="shared" ca="1" si="319"/>
        <v>0</v>
      </c>
      <c r="BD74" s="35">
        <f t="shared" si="313"/>
        <v>0</v>
      </c>
      <c r="BE74" s="36">
        <f t="shared" si="297"/>
        <v>0</v>
      </c>
      <c r="BF74" s="35">
        <f>SUMIFS('Fin Forecast'!$T$3:$T$600,'Fin Forecast'!$B$3:$B$600,'Jul17-Jun18 Transport'!$E74,'Fin Forecast'!$C$3:$C$600,'Jul17-Jun18 Transport'!$BF$5)*1000</f>
        <v>0</v>
      </c>
      <c r="BG74" s="35">
        <f>SUMIFS('Fin Forecast'!$T$3:$T$600,'Fin Forecast'!$B$3:$B$600,'Jul17-Jun18 Transport'!$E74,'Fin Forecast'!$C$3:$C$600,'Jul17-Jun18 Transport'!$BG$5)*1000</f>
        <v>0</v>
      </c>
      <c r="BH74" s="35"/>
      <c r="BI74" s="35">
        <f>SUMIFS('Fin Forecast'!$T$3:$T$600,'Fin Forecast'!$B$3:$B$600,'Jul17-Jun18 Transport'!$E74,'Fin Forecast'!$C$3:$C$600,'Jul17-Jun18 Transport'!$BI$5)*1000</f>
        <v>0</v>
      </c>
      <c r="BJ74" s="35">
        <f>SUMIFS('Fin Forecast'!$T$3:$T$600,'Fin Forecast'!$B$3:$B$600,'Jul17-Jun18 Transport'!$E74,'Fin Forecast'!$C$3:$C$600,'Jul17-Jun18 Transport'!$BJ$5)*1000</f>
        <v>0</v>
      </c>
      <c r="BK74" s="35">
        <f>SUMIFS('Fin Forecast'!$T$3:$T$600,'Fin Forecast'!$B$3:$B$600,'Jul17-Jun18 Transport'!$E74,'Fin Forecast'!$C$3:$C$600,'Jul17-Jun18 Transport'!$BK$5)*1000</f>
        <v>0</v>
      </c>
      <c r="BL74" s="35">
        <f>SUMIFS('Fin Forecast'!$T$3:$T$600,'Fin Forecast'!$B$3:$B$600,'Jul17-Jun18 Transport'!$E74,'Fin Forecast'!$C$3:$C$600,'Jul17-Jun18 Transport'!$BL$5)*1000</f>
        <v>0</v>
      </c>
      <c r="BM74" s="35">
        <f>SUMIFS('Fin Forecast'!$T$3:$T$600,'Fin Forecast'!$B$3:$B$600,'Jul17-Jun18 Transport'!$E74,'Fin Forecast'!$C$3:$C$600,'Jul17-Jun18 Transport'!$BM$5)*1000</f>
        <v>0</v>
      </c>
      <c r="BN74" s="35">
        <f>SUMIFS('Fin Forecast'!$T$3:$T$600,'Fin Forecast'!$B$3:$B$600,'Jul17-Jun18 Transport'!$E74,'Fin Forecast'!$C$3:$C$600,'Jul17-Jun18 Transport'!$BN$5)*1000</f>
        <v>0</v>
      </c>
      <c r="BP74" s="44">
        <f t="shared" ca="1" si="298"/>
        <v>0</v>
      </c>
      <c r="BR74" s="49">
        <f t="shared" ca="1" si="299"/>
        <v>0</v>
      </c>
      <c r="BS74" s="49">
        <f t="shared" ca="1" si="300"/>
        <v>0</v>
      </c>
      <c r="BT74" s="49">
        <f t="shared" si="301"/>
        <v>0</v>
      </c>
    </row>
    <row r="75" spans="1:72" ht="15" x14ac:dyDescent="0.25">
      <c r="A75" s="304"/>
      <c r="C75" s="6">
        <f t="shared" si="314"/>
        <v>60</v>
      </c>
      <c r="D75" s="361">
        <f t="shared" si="315"/>
        <v>43191</v>
      </c>
      <c r="E75" s="361" t="s">
        <v>34</v>
      </c>
      <c r="F75" s="6" t="str">
        <f t="shared" si="302"/>
        <v>996</v>
      </c>
      <c r="G75" s="6" t="s">
        <v>754</v>
      </c>
      <c r="H75" s="25">
        <f>SUMIF('Forcasted Customer Cts'!$D$5:$D$36,'Jul17-Jun18 Transport'!$E75,'Forcasted Customer Cts'!$Y$5:$Y$36)</f>
        <v>1</v>
      </c>
      <c r="I75" s="25"/>
      <c r="J75" s="25"/>
      <c r="K75" s="25">
        <f>SUMIF('Forecasted Calendar Month Usage'!$D$5:$D$41,'Jul17-Jun18 Transport'!$E75,'Forecasted Calendar Month Usage'!$AG$5:$AG$41)*10</f>
        <v>134868.99999999997</v>
      </c>
      <c r="L75" s="25"/>
      <c r="M75" s="25"/>
      <c r="N75" s="25">
        <f>16560*10</f>
        <v>165600</v>
      </c>
      <c r="O75" s="26">
        <f>VLOOKUP($E75,'Retail Rates'!$B$7:$L$34,5,FALSE)</f>
        <v>180</v>
      </c>
      <c r="P75" s="26">
        <f>VLOOKUP($E75,'Retail Rates'!$B$7:$L$34,6,FALSE)</f>
        <v>0</v>
      </c>
      <c r="Q75" s="26">
        <f>VLOOKUP($E75,'Retail Rates'!$B$7:$L$34,9,FALSE)</f>
        <v>0</v>
      </c>
      <c r="R75" s="27">
        <f>VLOOKUP($E75,'Retail Rates'!$B$7:$L$34,7,FALSE)</f>
        <v>3.329E-2</v>
      </c>
      <c r="S75" s="27">
        <f>VLOOKUP($E75,'Retail Rates'!$B$7:$L$34,8,FALSE)</f>
        <v>0</v>
      </c>
      <c r="T75" s="309">
        <v>0</v>
      </c>
      <c r="U75" s="403">
        <f>VLOOKUP($E75,'Retail Rates'!$B$7:$L$34,11,FALSE)</f>
        <v>1.12629</v>
      </c>
      <c r="V75" s="27"/>
      <c r="W75" s="309"/>
      <c r="X75" s="28">
        <f t="shared" si="316"/>
        <v>180</v>
      </c>
      <c r="Y75" s="28">
        <f t="shared" si="303"/>
        <v>0</v>
      </c>
      <c r="Z75" s="28">
        <f t="shared" si="317"/>
        <v>0</v>
      </c>
      <c r="AA75" s="28">
        <f t="shared" si="289"/>
        <v>4489.7890099999986</v>
      </c>
      <c r="AB75" s="28">
        <f t="shared" si="304"/>
        <v>0</v>
      </c>
      <c r="AC75" s="28">
        <f t="shared" si="305"/>
        <v>0</v>
      </c>
      <c r="AD75" s="28">
        <f t="shared" si="318"/>
        <v>0</v>
      </c>
      <c r="AE75" s="28"/>
      <c r="AF75" s="28">
        <f>N75*U75</f>
        <v>186513.62400000001</v>
      </c>
      <c r="AG75" s="28"/>
      <c r="AH75" s="48">
        <f ca="1">SUMIFS(Adjustments!H$5:H$557,Adjustments!$B$5:$B$557,'Jul17-Jun18 Retail'!$D73,Adjustments!$C$5:$C$557,'Jul17-Jun18 Retail'!$E73)</f>
        <v>0</v>
      </c>
      <c r="AI75" s="48">
        <f ca="1">SUMIFS(Adjustments!I$5:I$557,Adjustments!$B$5:$B$557,'Jul17-Jun18 Retail'!$D73,Adjustments!$C$5:$C$557,'Jul17-Jun18 Retail'!$E73)</f>
        <v>0</v>
      </c>
      <c r="AJ75" s="40">
        <f ca="1">SUMIFS(Adjustments!J$5:J$557,Adjustments!$B$5:$B$557,'Jul17-Jun18 Retail'!$D73,Adjustments!$C$5:$C$557,'Jul17-Jun18 Retail'!$E73)</f>
        <v>0</v>
      </c>
      <c r="AK75" s="40">
        <f ca="1">SUMIFS(Adjustments!K$5:K$557,Adjustments!$B$5:$B$557,'Jul17-Jun18 Retail'!$D73,Adjustments!$C$5:$C$557,'Jul17-Jun18 Retail'!$E73)</f>
        <v>0</v>
      </c>
      <c r="AL75" s="40">
        <f ca="1">SUMIFS(Adjustments!L$5:L$557,Adjustments!$B$5:$B$557,'Jul17-Jun18 Retail'!$D73,Adjustments!$C$5:$C$557,'Jul17-Jun18 Retail'!$E73)</f>
        <v>0</v>
      </c>
      <c r="AM75" s="40">
        <f ca="1">SUMIFS(Adjustments!M$5:M$557,Adjustments!$B$5:$B$557,'Jul17-Jun18 Retail'!$D73,Adjustments!$C$5:$C$557,'Jul17-Jun18 Retail'!$E73)</f>
        <v>0</v>
      </c>
      <c r="AN75" s="40">
        <f ca="1">SUMIFS(Adjustments!N$5:N$557,Adjustments!$B$5:$B$557,'Jul17-Jun18 Retail'!$D73,Adjustments!$C$5:$C$557,'Jul17-Jun18 Retail'!$E73)</f>
        <v>0</v>
      </c>
      <c r="AO75" s="40">
        <f ca="1">SUMIFS(Adjustments!O$5:O$557,Adjustments!$B$5:$B$557,'Jul17-Jun18 Retail'!$D73,Adjustments!$C$5:$C$557,'Jul17-Jun18 Retail'!$E73)</f>
        <v>0</v>
      </c>
      <c r="AP75" s="40">
        <f ca="1">SUMIFS(Adjustments!P$5:P$557,Adjustments!$B$5:$B$557,'Jul17-Jun18 Retail'!$D73,Adjustments!$C$5:$C$557,'Jul17-Jun18 Retail'!$E73)</f>
        <v>0</v>
      </c>
      <c r="AQ75" s="28">
        <f t="shared" ca="1" si="291"/>
        <v>180</v>
      </c>
      <c r="AR75" s="28">
        <f t="shared" ca="1" si="307"/>
        <v>0</v>
      </c>
      <c r="AS75" s="28">
        <f t="shared" ca="1" si="292"/>
        <v>4489.7890099999986</v>
      </c>
      <c r="AT75" s="28">
        <f t="shared" ca="1" si="293"/>
        <v>0</v>
      </c>
      <c r="AU75" s="28">
        <f t="shared" si="308"/>
        <v>0</v>
      </c>
      <c r="AV75" s="28">
        <f t="shared" si="309"/>
        <v>0</v>
      </c>
      <c r="AW75" s="35">
        <f t="shared" si="310"/>
        <v>73546.0922520678</v>
      </c>
      <c r="AX75" s="35">
        <f t="shared" si="311"/>
        <v>0</v>
      </c>
      <c r="AY75" s="35">
        <f t="shared" si="312"/>
        <v>0</v>
      </c>
      <c r="AZ75" s="35">
        <f t="shared" si="294"/>
        <v>0</v>
      </c>
      <c r="BA75" s="28">
        <f t="shared" ca="1" si="295"/>
        <v>186513.62400000001</v>
      </c>
      <c r="BB75" s="28"/>
      <c r="BC75" s="35">
        <f t="shared" ca="1" si="319"/>
        <v>264729.51</v>
      </c>
      <c r="BD75" s="35">
        <f t="shared" si="313"/>
        <v>264729.50526206777</v>
      </c>
      <c r="BE75" s="36">
        <f t="shared" ca="1" si="297"/>
        <v>1</v>
      </c>
      <c r="BF75" s="35">
        <f>SUMIFS('Fin Forecast'!$T$3:$T$600,'Fin Forecast'!$B$3:$B$600,'Jul17-Jun18 Transport'!$E75,'Fin Forecast'!$C$3:$C$600,'Jul17-Jun18 Transport'!$BF$5)*1000</f>
        <v>0</v>
      </c>
      <c r="BG75" s="35">
        <f>SUMIFS('Fin Forecast'!$T$3:$T$600,'Fin Forecast'!$B$3:$B$600,'Jul17-Jun18 Transport'!$E75,'Fin Forecast'!$C$3:$C$600,'Jul17-Jun18 Transport'!$BG$5)*1000</f>
        <v>73546.0922520678</v>
      </c>
      <c r="BH75" s="35"/>
      <c r="BI75" s="35">
        <f>SUMIFS('Fin Forecast'!$T$3:$T$600,'Fin Forecast'!$B$3:$B$600,'Jul17-Jun18 Transport'!$E75,'Fin Forecast'!$C$3:$C$600,'Jul17-Jun18 Transport'!$BI$5)*1000</f>
        <v>0</v>
      </c>
      <c r="BJ75" s="35">
        <f>SUMIFS('Fin Forecast'!$T$3:$T$600,'Fin Forecast'!$B$3:$B$600,'Jul17-Jun18 Transport'!$E75,'Fin Forecast'!$C$3:$C$600,'Jul17-Jun18 Transport'!$BJ$5)*1000</f>
        <v>0</v>
      </c>
      <c r="BK75" s="35">
        <f>SUMIFS('Fin Forecast'!$T$3:$T$600,'Fin Forecast'!$B$3:$B$600,'Jul17-Jun18 Transport'!$E75,'Fin Forecast'!$C$3:$C$600,'Jul17-Jun18 Transport'!$BK$5)*1000</f>
        <v>180</v>
      </c>
      <c r="BL75" s="35">
        <f>SUMIFS('Fin Forecast'!$T$3:$T$600,'Fin Forecast'!$B$3:$B$600,'Jul17-Jun18 Transport'!$E75,'Fin Forecast'!$C$3:$C$600,'Jul17-Jun18 Transport'!$BL$5)*1000</f>
        <v>4489.7890100000004</v>
      </c>
      <c r="BM75" s="35">
        <f>SUMIFS('Fin Forecast'!$T$3:$T$600,'Fin Forecast'!$B$3:$B$600,'Jul17-Jun18 Transport'!$E75,'Fin Forecast'!$C$3:$C$600,'Jul17-Jun18 Transport'!$BM$5)*1000</f>
        <v>186513.62399999998</v>
      </c>
      <c r="BN75" s="35">
        <f>SUMIFS('Fin Forecast'!$T$3:$T$600,'Fin Forecast'!$B$3:$B$600,'Jul17-Jun18 Transport'!$E75,'Fin Forecast'!$C$3:$C$600,'Jul17-Jun18 Transport'!$BN$5)*1000</f>
        <v>0</v>
      </c>
      <c r="BP75" s="44">
        <f t="shared" ca="1" si="298"/>
        <v>4.7379322350025177E-3</v>
      </c>
      <c r="BR75" s="49">
        <f t="shared" ca="1" si="299"/>
        <v>0</v>
      </c>
      <c r="BS75" s="49">
        <f t="shared" ca="1" si="300"/>
        <v>0</v>
      </c>
      <c r="BT75" s="49">
        <f t="shared" si="301"/>
        <v>0</v>
      </c>
    </row>
    <row r="76" spans="1:72" s="323" customFormat="1" ht="15" x14ac:dyDescent="0.25">
      <c r="C76" s="324"/>
      <c r="D76" s="362"/>
      <c r="E76" s="362"/>
      <c r="F76" s="324"/>
      <c r="G76" s="324"/>
      <c r="O76" s="326"/>
      <c r="P76" s="326"/>
      <c r="Q76" s="327"/>
      <c r="R76" s="327"/>
      <c r="S76" s="327"/>
      <c r="T76" s="326"/>
      <c r="U76" s="327"/>
      <c r="V76" s="327"/>
      <c r="W76" s="328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30"/>
      <c r="AI76" s="330"/>
      <c r="AJ76" s="329"/>
      <c r="AK76" s="329"/>
      <c r="AL76" s="329"/>
      <c r="AM76" s="329"/>
      <c r="AN76" s="329"/>
      <c r="AO76" s="329"/>
      <c r="AP76" s="329"/>
      <c r="AQ76" s="341"/>
      <c r="AR76" s="341"/>
      <c r="AS76" s="341"/>
      <c r="AT76" s="341"/>
      <c r="AU76" s="341"/>
      <c r="AV76" s="341"/>
      <c r="AW76" s="329"/>
      <c r="AX76" s="329"/>
      <c r="AY76" s="329"/>
      <c r="AZ76" s="329"/>
      <c r="BA76" s="329"/>
      <c r="BB76" s="329"/>
      <c r="BC76" s="329"/>
      <c r="BD76" s="329"/>
      <c r="BE76" s="331"/>
      <c r="BF76" s="341"/>
      <c r="BG76" s="341"/>
      <c r="BH76" s="341"/>
      <c r="BI76" s="341"/>
      <c r="BJ76" s="341"/>
      <c r="BK76" s="341"/>
      <c r="BL76" s="341"/>
      <c r="BM76" s="341"/>
      <c r="BN76" s="341"/>
      <c r="BP76" s="329"/>
      <c r="BR76" s="329"/>
      <c r="BS76" s="329"/>
      <c r="BT76" s="329"/>
    </row>
    <row r="77" spans="1:72" ht="15" x14ac:dyDescent="0.25">
      <c r="C77" s="6">
        <f>C75+1</f>
        <v>61</v>
      </c>
      <c r="D77" s="361">
        <f>EDATE(D70,1)</f>
        <v>43221</v>
      </c>
      <c r="E77" s="361" t="s">
        <v>41</v>
      </c>
      <c r="F77" s="6" t="str">
        <f>MID(E77,6,3)</f>
        <v>895</v>
      </c>
      <c r="G77" s="6" t="str">
        <f>VLOOKUP(E77,'Retail Rates'!$B$7:$D$34,3,FALSE)</f>
        <v>FT-C</v>
      </c>
      <c r="H77" s="25">
        <f>SUMIF('Forcasted Customer Cts'!$D$5:$D$36,'Jul17-Jun18 Transport'!$E77,'Forcasted Customer Cts'!$Z$5:$Z$36)</f>
        <v>73</v>
      </c>
      <c r="I77" s="25"/>
      <c r="J77" s="25"/>
      <c r="K77" s="25">
        <f>SUMIF('Forecasted Calendar Month Usage'!$D$5:$D$41,'Jul17-Jun18 Transport'!$E77,'Forecasted Calendar Month Usage'!$AH$5:$AH$41)*10</f>
        <v>7097785.6689239237</v>
      </c>
      <c r="L77" s="25"/>
      <c r="M77" s="25">
        <v>69</v>
      </c>
      <c r="N77" s="25"/>
      <c r="O77" s="26">
        <f>VLOOKUP($E77,'Retail Rates'!$B$7:$L$34,5,FALSE)</f>
        <v>0</v>
      </c>
      <c r="P77" s="26">
        <f>VLOOKUP($E77,'Retail Rates'!$B$7:$L$34,6,FALSE)</f>
        <v>0</v>
      </c>
      <c r="Q77" s="26">
        <f>VLOOKUP($E77,'Retail Rates'!$B$7:$L$34,9,FALSE)</f>
        <v>550</v>
      </c>
      <c r="R77" s="27">
        <f>VLOOKUP($E77,'Retail Rates'!$B$7:$L$34,7,FALSE)</f>
        <v>4.3020000000000003E-2</v>
      </c>
      <c r="S77" s="27">
        <f>VLOOKUP($E77,'Retail Rates'!$B$7:$L$34,8,FALSE)</f>
        <v>0</v>
      </c>
      <c r="T77" s="309">
        <v>75</v>
      </c>
      <c r="U77" s="26">
        <f>VLOOKUP($E77,'Retail Rates'!$B$7:$L$34,11,FALSE)</f>
        <v>0</v>
      </c>
      <c r="V77" s="27"/>
      <c r="W77" s="309"/>
      <c r="X77" s="28">
        <f t="shared" ref="X77:X78" si="320">(+H77*O77)+(I77*O77)</f>
        <v>0</v>
      </c>
      <c r="Y77" s="28">
        <f>J77*P77</f>
        <v>0</v>
      </c>
      <c r="Z77" s="28">
        <f>H77*Q77</f>
        <v>40150</v>
      </c>
      <c r="AA77" s="28">
        <f t="shared" ref="AA77:AA82" si="321">+K77*R77</f>
        <v>305346.73947710724</v>
      </c>
      <c r="AB77" s="28">
        <f>+L77*S77</f>
        <v>0</v>
      </c>
      <c r="AC77" s="28">
        <f>M77*T77</f>
        <v>5175</v>
      </c>
      <c r="AD77" s="28">
        <f>H77*V77</f>
        <v>0</v>
      </c>
      <c r="AE77" s="28"/>
      <c r="AF77" s="28">
        <f t="shared" ref="AF77:AF81" si="322">N77*U77</f>
        <v>0</v>
      </c>
      <c r="AG77" s="28"/>
      <c r="AH77" s="48">
        <f ca="1">SUMIFS(Adjustments!H$5:H$557,Adjustments!$B$5:$B$557,'Jul17-Jun18 Retail'!$D77,Adjustments!$C$5:$C$557,'Jul17-Jun18 Retail'!$E77)</f>
        <v>0</v>
      </c>
      <c r="AI77" s="48">
        <f ca="1">SUMIFS(Adjustments!I$5:I$557,Adjustments!$B$5:$B$557,'Jul17-Jun18 Retail'!$D77,Adjustments!$C$5:$C$557,'Jul17-Jun18 Retail'!$E77)</f>
        <v>0</v>
      </c>
      <c r="AJ77" s="40">
        <f ca="1">SUMIFS(Adjustments!J$5:J$557,Adjustments!$B$5:$B$557,'Jul17-Jun18 Retail'!$D77,Adjustments!$C$5:$C$557,'Jul17-Jun18 Retail'!$E77)</f>
        <v>0</v>
      </c>
      <c r="AK77" s="40">
        <f ca="1">SUMIFS(Adjustments!K$5:K$557,Adjustments!$B$5:$B$557,'Jul17-Jun18 Retail'!$D77,Adjustments!$C$5:$C$557,'Jul17-Jun18 Retail'!$E77)</f>
        <v>0</v>
      </c>
      <c r="AL77" s="40">
        <f ca="1">SUMIFS(Adjustments!L$5:L$557,Adjustments!$B$5:$B$557,'Jul17-Jun18 Retail'!$D77,Adjustments!$C$5:$C$557,'Jul17-Jun18 Retail'!$E77)</f>
        <v>0</v>
      </c>
      <c r="AM77" s="40">
        <f ca="1">SUMIFS(Adjustments!M$5:M$557,Adjustments!$B$5:$B$557,'Jul17-Jun18 Retail'!$D77,Adjustments!$C$5:$C$557,'Jul17-Jun18 Retail'!$E77)</f>
        <v>0</v>
      </c>
      <c r="AN77" s="40">
        <f ca="1">SUMIFS(Adjustments!N$5:N$557,Adjustments!$B$5:$B$557,'Jul17-Jun18 Retail'!$D77,Adjustments!$C$5:$C$557,'Jul17-Jun18 Retail'!$E77)</f>
        <v>0</v>
      </c>
      <c r="AO77" s="40">
        <f ca="1">SUMIFS(Adjustments!O$5:O$557,Adjustments!$B$5:$B$557,'Jul17-Jun18 Retail'!$D77,Adjustments!$C$5:$C$557,'Jul17-Jun18 Retail'!$E77)</f>
        <v>0</v>
      </c>
      <c r="AP77" s="40">
        <f ca="1">SUMIFS(Adjustments!P$5:P$557,Adjustments!$B$5:$B$557,'Jul17-Jun18 Retail'!$D77,Adjustments!$C$5:$C$557,'Jul17-Jun18 Retail'!$E77)</f>
        <v>0</v>
      </c>
      <c r="AQ77" s="28">
        <f t="shared" ref="AQ77:AQ82" ca="1" si="323">+X77+AJ77+(AH77*O77)</f>
        <v>0</v>
      </c>
      <c r="AR77" s="28">
        <f ca="1">+Y77+AK77</f>
        <v>0</v>
      </c>
      <c r="AS77" s="28">
        <f t="shared" ref="AS77:AS82" ca="1" si="324">+AA77+AL77</f>
        <v>305346.73947710724</v>
      </c>
      <c r="AT77" s="28">
        <f t="shared" ref="AT77:AT82" ca="1" si="325">+AB77+AM77</f>
        <v>0</v>
      </c>
      <c r="AU77" s="28">
        <f>Z77</f>
        <v>40150</v>
      </c>
      <c r="AV77" s="28">
        <f>AC77</f>
        <v>5175</v>
      </c>
      <c r="AW77" s="35">
        <f>BG77</f>
        <v>0</v>
      </c>
      <c r="AX77" s="35">
        <f>BF77</f>
        <v>204848.87287088402</v>
      </c>
      <c r="AY77" s="35">
        <f>BH77</f>
        <v>0</v>
      </c>
      <c r="AZ77" s="35">
        <f t="shared" ref="AZ77:AZ82" si="326">BN77</f>
        <v>0</v>
      </c>
      <c r="BA77" s="28">
        <f t="shared" ref="BA77:BA82" ca="1" si="327">+AF77+AP77</f>
        <v>0</v>
      </c>
      <c r="BB77" s="28"/>
      <c r="BC77" s="35">
        <f t="shared" ref="BC77:BC78" ca="1" si="328">ROUND(SUM(AQ77:BB77),2)</f>
        <v>555520.61</v>
      </c>
      <c r="BD77" s="35">
        <f>SUM(BF77:BN77)</f>
        <v>555520.61235449021</v>
      </c>
      <c r="BE77" s="36">
        <f t="shared" ref="BE77:BE82" ca="1" si="329">IF(BD77=0,0,ROUND(BD77/BC77,6))</f>
        <v>1</v>
      </c>
      <c r="BF77" s="35">
        <f>SUMIFS('Fin Forecast'!$U$3:$U$600,'Fin Forecast'!$B$3:$B$600,'Jul17-Jun18 Transport'!$E77,'Fin Forecast'!$C$3:$C$600,'Jul17-Jun18 Transport'!$BF$5)*1000</f>
        <v>204848.87287088402</v>
      </c>
      <c r="BG77" s="35">
        <f>SUMIFS('Fin Forecast'!$U$3:$U$600,'Fin Forecast'!$B$3:$B$600,'Jul17-Jun18 Transport'!$E77,'Fin Forecast'!$C$3:$C$600,'Jul17-Jun18 Transport'!$BG$5)*1000</f>
        <v>0</v>
      </c>
      <c r="BH77" s="35"/>
      <c r="BI77" s="35">
        <f>SUMIFS('Fin Forecast'!$U$3:$U$600,'Fin Forecast'!$B$3:$B$600,'Jul17-Jun18 Transport'!$E77,'Fin Forecast'!$C$3:$C$600,'Jul17-Jun18 Transport'!$BI$5)*1000</f>
        <v>5175</v>
      </c>
      <c r="BJ77" s="35">
        <f>SUMIFS('Fin Forecast'!$U$3:$U$600,'Fin Forecast'!$B$3:$B$600,'Jul17-Jun18 Transport'!$E77,'Fin Forecast'!$C$3:$C$600,'Jul17-Jun18 Transport'!$BJ$5)*1000</f>
        <v>40150</v>
      </c>
      <c r="BK77" s="35">
        <f>SUMIFS('Fin Forecast'!$U$3:$U$600,'Fin Forecast'!$B$3:$B$600,'Jul17-Jun18 Transport'!$E77,'Fin Forecast'!$C$3:$C$600,'Jul17-Jun18 Transport'!$BK$5)*1000</f>
        <v>0</v>
      </c>
      <c r="BL77" s="35">
        <f>SUMIFS('Fin Forecast'!$U$3:$U$600,'Fin Forecast'!$B$3:$B$600,'Jul17-Jun18 Transport'!$E77,'Fin Forecast'!$C$3:$C$600,'Jul17-Jun18 Transport'!$BL$5)*1000</f>
        <v>305346.73948360619</v>
      </c>
      <c r="BM77" s="35">
        <f>SUMIFS('Fin Forecast'!$U$3:$U$600,'Fin Forecast'!$B$3:$B$600,'Jul17-Jun18 Transport'!$E77,'Fin Forecast'!$C$3:$C$600,'Jul17-Jun18 Transport'!$BM$5)*1000</f>
        <v>0</v>
      </c>
      <c r="BN77" s="35">
        <f>SUMIFS('Fin Forecast'!$U$3:$U$600,'Fin Forecast'!$B$3:$B$600,'Jul17-Jun18 Transport'!$E77,'Fin Forecast'!$C$3:$C$600,'Jul17-Jun18 Transport'!$BN$5)*1000</f>
        <v>0</v>
      </c>
      <c r="BP77" s="44">
        <f t="shared" ref="BP77:BP82" ca="1" si="330">+BC77-BD77</f>
        <v>-2.354490221478045E-3</v>
      </c>
      <c r="BR77" s="49">
        <f t="shared" ref="BR77:BR82" ca="1" si="331">+AQ77+AR77-BK77</f>
        <v>0</v>
      </c>
      <c r="BS77" s="49">
        <f t="shared" ref="BS77:BS82" ca="1" si="332">+AS77+AT77-BL77</f>
        <v>-6.4989435486495495E-6</v>
      </c>
      <c r="BT77" s="49">
        <f t="shared" ref="BT77:BT82" si="333">+AW77-BG77</f>
        <v>0</v>
      </c>
    </row>
    <row r="78" spans="1:72" ht="15" x14ac:dyDescent="0.25">
      <c r="C78" s="6">
        <f>C77+1</f>
        <v>62</v>
      </c>
      <c r="D78" s="361">
        <f>$D$77</f>
        <v>43221</v>
      </c>
      <c r="E78" s="361" t="s">
        <v>43</v>
      </c>
      <c r="F78" s="6" t="str">
        <f t="shared" ref="F78:F82" si="334">MID(E78,6,3)</f>
        <v>896</v>
      </c>
      <c r="G78" s="6" t="str">
        <f>VLOOKUP(E78,'Retail Rates'!$B$7:$D$34,3,FALSE)</f>
        <v>FT-I</v>
      </c>
      <c r="H78" s="25">
        <f>SUMIF('Forcasted Customer Cts'!$D$5:$D$36,'Jul17-Jun18 Transport'!$E78,'Forcasted Customer Cts'!$Z$5:$Z$36)</f>
        <v>0</v>
      </c>
      <c r="I78" s="25"/>
      <c r="J78" s="25"/>
      <c r="K78" s="25">
        <f>SUMIF('Forecasted Calendar Month Usage'!$D$5:$D$41,'Jul17-Jun18 Transport'!$E78,'Forecasted Calendar Month Usage'!$AH$5:$AH$41)*10</f>
        <v>0</v>
      </c>
      <c r="L78" s="25"/>
      <c r="M78" s="25"/>
      <c r="N78" s="25"/>
      <c r="O78" s="26">
        <f>VLOOKUP($E78,'Retail Rates'!$B$7:$L$34,5,FALSE)</f>
        <v>0</v>
      </c>
      <c r="P78" s="26">
        <f>VLOOKUP($E78,'Retail Rates'!$B$7:$L$34,6,FALSE)</f>
        <v>0</v>
      </c>
      <c r="Q78" s="26">
        <f>VLOOKUP($E78,'Retail Rates'!$B$7:$L$34,9,FALSE)</f>
        <v>550</v>
      </c>
      <c r="R78" s="27">
        <f>VLOOKUP($E78,'Retail Rates'!$B$7:$L$34,7,FALSE)</f>
        <v>4.3020000000000003E-2</v>
      </c>
      <c r="S78" s="27">
        <f>VLOOKUP($E78,'Retail Rates'!$B$7:$L$34,8,FALSE)</f>
        <v>0</v>
      </c>
      <c r="T78" s="309">
        <v>75</v>
      </c>
      <c r="U78" s="26">
        <f>VLOOKUP($E78,'Retail Rates'!$B$7:$L$34,11,FALSE)</f>
        <v>0</v>
      </c>
      <c r="V78" s="27"/>
      <c r="W78" s="309"/>
      <c r="X78" s="28">
        <f t="shared" si="320"/>
        <v>0</v>
      </c>
      <c r="Y78" s="28">
        <f t="shared" ref="Y78:Y82" si="335">J78*P78</f>
        <v>0</v>
      </c>
      <c r="Z78" s="28">
        <f>H78*Q78</f>
        <v>0</v>
      </c>
      <c r="AA78" s="28">
        <f t="shared" si="321"/>
        <v>0</v>
      </c>
      <c r="AB78" s="28">
        <f t="shared" ref="AB78:AB82" si="336">+L78*S78</f>
        <v>0</v>
      </c>
      <c r="AC78" s="28">
        <f t="shared" ref="AC78:AC82" si="337">M78*T78</f>
        <v>0</v>
      </c>
      <c r="AD78" s="28">
        <f t="shared" ref="AD78" si="338">H78*V78</f>
        <v>0</v>
      </c>
      <c r="AE78" s="28"/>
      <c r="AF78" s="28">
        <f t="shared" si="322"/>
        <v>0</v>
      </c>
      <c r="AG78" s="28"/>
      <c r="AH78" s="48">
        <f ca="1">SUMIFS(Adjustments!H$5:H$557,Adjustments!$B$5:$B$557,'Jul17-Jun18 Retail'!$D78,Adjustments!$C$5:$C$557,'Jul17-Jun18 Retail'!$E78)</f>
        <v>0</v>
      </c>
      <c r="AI78" s="48">
        <f ca="1">SUMIFS(Adjustments!I$5:I$557,Adjustments!$B$5:$B$557,'Jul17-Jun18 Retail'!$D78,Adjustments!$C$5:$C$557,'Jul17-Jun18 Retail'!$E78)</f>
        <v>0</v>
      </c>
      <c r="AJ78" s="40">
        <f ca="1">SUMIFS(Adjustments!J$5:J$557,Adjustments!$B$5:$B$557,'Jul17-Jun18 Retail'!$D78,Adjustments!$C$5:$C$557,'Jul17-Jun18 Retail'!$E78)</f>
        <v>0</v>
      </c>
      <c r="AK78" s="40">
        <f ca="1">SUMIFS(Adjustments!K$5:K$557,Adjustments!$B$5:$B$557,'Jul17-Jun18 Retail'!$D78,Adjustments!$C$5:$C$557,'Jul17-Jun18 Retail'!$E78)</f>
        <v>0</v>
      </c>
      <c r="AL78" s="40">
        <f ca="1">SUMIFS(Adjustments!L$5:L$557,Adjustments!$B$5:$B$557,'Jul17-Jun18 Retail'!$D78,Adjustments!$C$5:$C$557,'Jul17-Jun18 Retail'!$E78)</f>
        <v>0</v>
      </c>
      <c r="AM78" s="40">
        <f ca="1">SUMIFS(Adjustments!M$5:M$557,Adjustments!$B$5:$B$557,'Jul17-Jun18 Retail'!$D78,Adjustments!$C$5:$C$557,'Jul17-Jun18 Retail'!$E78)</f>
        <v>0</v>
      </c>
      <c r="AN78" s="40">
        <f ca="1">SUMIFS(Adjustments!N$5:N$557,Adjustments!$B$5:$B$557,'Jul17-Jun18 Retail'!$D78,Adjustments!$C$5:$C$557,'Jul17-Jun18 Retail'!$E78)</f>
        <v>0</v>
      </c>
      <c r="AO78" s="40">
        <f ca="1">SUMIFS(Adjustments!O$5:O$557,Adjustments!$B$5:$B$557,'Jul17-Jun18 Retail'!$D78,Adjustments!$C$5:$C$557,'Jul17-Jun18 Retail'!$E78)</f>
        <v>0</v>
      </c>
      <c r="AP78" s="40">
        <f ca="1">SUMIFS(Adjustments!P$5:P$557,Adjustments!$B$5:$B$557,'Jul17-Jun18 Retail'!$D78,Adjustments!$C$5:$C$557,'Jul17-Jun18 Retail'!$E78)</f>
        <v>0</v>
      </c>
      <c r="AQ78" s="28">
        <f t="shared" ca="1" si="323"/>
        <v>0</v>
      </c>
      <c r="AR78" s="28">
        <f t="shared" ref="AR78:AR82" ca="1" si="339">+Y78+AK78</f>
        <v>0</v>
      </c>
      <c r="AS78" s="28">
        <f t="shared" ca="1" si="324"/>
        <v>0</v>
      </c>
      <c r="AT78" s="28">
        <f t="shared" ca="1" si="325"/>
        <v>0</v>
      </c>
      <c r="AU78" s="28">
        <f t="shared" ref="AU78:AU82" si="340">Z78</f>
        <v>0</v>
      </c>
      <c r="AV78" s="28">
        <f t="shared" ref="AV78:AV82" si="341">AC78</f>
        <v>0</v>
      </c>
      <c r="AW78" s="35">
        <f t="shared" ref="AW78:AW82" si="342">BG78</f>
        <v>0</v>
      </c>
      <c r="AX78" s="35">
        <f t="shared" ref="AX78:AX82" si="343">BF78</f>
        <v>0</v>
      </c>
      <c r="AY78" s="35">
        <f t="shared" ref="AY78:AY82" si="344">BH78</f>
        <v>0</v>
      </c>
      <c r="AZ78" s="35">
        <f t="shared" si="326"/>
        <v>0</v>
      </c>
      <c r="BA78" s="28">
        <f t="shared" ca="1" si="327"/>
        <v>0</v>
      </c>
      <c r="BB78" s="28"/>
      <c r="BC78" s="35">
        <f t="shared" ca="1" si="328"/>
        <v>0</v>
      </c>
      <c r="BD78" s="35">
        <f t="shared" ref="BD78:BD82" si="345">SUM(BF78:BN78)</f>
        <v>0</v>
      </c>
      <c r="BE78" s="36">
        <f t="shared" si="329"/>
        <v>0</v>
      </c>
      <c r="BF78" s="35">
        <f>SUMIFS('Fin Forecast'!$U$3:$U$600,'Fin Forecast'!$B$3:$B$600,'Jul17-Jun18 Transport'!$E78,'Fin Forecast'!$C$3:$C$600,'Jul17-Jun18 Transport'!$BF$5)*1000</f>
        <v>0</v>
      </c>
      <c r="BG78" s="35">
        <f>SUMIFS('Fin Forecast'!$U$3:$U$600,'Fin Forecast'!$B$3:$B$600,'Jul17-Jun18 Transport'!$E78,'Fin Forecast'!$C$3:$C$600,'Jul17-Jun18 Transport'!$BG$5)*1000</f>
        <v>0</v>
      </c>
      <c r="BH78" s="35"/>
      <c r="BI78" s="35">
        <f>SUMIFS('Fin Forecast'!$U$3:$U$600,'Fin Forecast'!$B$3:$B$600,'Jul17-Jun18 Transport'!$E78,'Fin Forecast'!$C$3:$C$600,'Jul17-Jun18 Transport'!$BI$5)*1000</f>
        <v>0</v>
      </c>
      <c r="BJ78" s="35">
        <f>SUMIFS('Fin Forecast'!$U$3:$U$600,'Fin Forecast'!$B$3:$B$600,'Jul17-Jun18 Transport'!$E78,'Fin Forecast'!$C$3:$C$600,'Jul17-Jun18 Transport'!$BJ$5)*1000</f>
        <v>0</v>
      </c>
      <c r="BK78" s="35">
        <f>SUMIFS('Fin Forecast'!$U$3:$U$600,'Fin Forecast'!$B$3:$B$600,'Jul17-Jun18 Transport'!$E78,'Fin Forecast'!$C$3:$C$600,'Jul17-Jun18 Transport'!$BK$5)*1000</f>
        <v>0</v>
      </c>
      <c r="BL78" s="35">
        <f>SUMIFS('Fin Forecast'!$U$3:$U$600,'Fin Forecast'!$B$3:$B$600,'Jul17-Jun18 Transport'!$E78,'Fin Forecast'!$C$3:$C$600,'Jul17-Jun18 Transport'!$BL$5)*1000</f>
        <v>0</v>
      </c>
      <c r="BM78" s="35">
        <f>SUMIFS('Fin Forecast'!$U$3:$U$600,'Fin Forecast'!$B$3:$B$600,'Jul17-Jun18 Transport'!$E78,'Fin Forecast'!$C$3:$C$600,'Jul17-Jun18 Transport'!$BM$5)*1000</f>
        <v>0</v>
      </c>
      <c r="BN78" s="35">
        <f>SUMIFS('Fin Forecast'!$U$3:$U$600,'Fin Forecast'!$B$3:$B$600,'Jul17-Jun18 Transport'!$E78,'Fin Forecast'!$C$3:$C$600,'Jul17-Jun18 Transport'!$BN$5)*1000</f>
        <v>0</v>
      </c>
      <c r="BP78" s="44">
        <f t="shared" ca="1" si="330"/>
        <v>0</v>
      </c>
      <c r="BR78" s="49">
        <f t="shared" ca="1" si="331"/>
        <v>0</v>
      </c>
      <c r="BS78" s="49">
        <f t="shared" ca="1" si="332"/>
        <v>0</v>
      </c>
      <c r="BT78" s="49">
        <f t="shared" si="333"/>
        <v>0</v>
      </c>
    </row>
    <row r="79" spans="1:72" ht="15" x14ac:dyDescent="0.25">
      <c r="A79" s="304"/>
      <c r="B79" s="13" t="s">
        <v>444</v>
      </c>
      <c r="C79" s="6">
        <f t="shared" ref="C79:C82" si="346">C78+1</f>
        <v>63</v>
      </c>
      <c r="D79" s="361">
        <f t="shared" ref="D79:D82" si="347">$D$77</f>
        <v>43221</v>
      </c>
      <c r="E79" s="361" t="s">
        <v>31</v>
      </c>
      <c r="F79" s="6" t="str">
        <f t="shared" si="334"/>
        <v>882</v>
      </c>
      <c r="G79" s="6" t="str">
        <f>VLOOKUP(E79,'Retail Rates'!$B$7:$D$34,3,FALSE)</f>
        <v>IGS-TS-2</v>
      </c>
      <c r="H79" s="25"/>
      <c r="I79" s="25"/>
      <c r="J79" s="25">
        <f>SUMIFS('Forcasted Customer Cts'!$Z$5:$Z$36,'Forcasted Customer Cts'!$D$5:$D$36,$E79,'Forcasted Customer Cts'!$C$5:$C$36,$B79)</f>
        <v>5</v>
      </c>
      <c r="K79" s="25">
        <v>5000</v>
      </c>
      <c r="L79" s="25">
        <f>(SUMIF('Forecasted Calendar Month Usage'!$D$5:$D$41,'Jul17-Jun18 Transport'!$E79,'Forecasted Calendar Month Usage'!$AH$5:$AH$41)*10)-K79</f>
        <v>321067.17370365374</v>
      </c>
      <c r="M79" s="25">
        <v>2</v>
      </c>
      <c r="N79" s="25"/>
      <c r="O79" s="26">
        <f>VLOOKUP($E79,'Retail Rates'!$B$7:$L$34,5,FALSE)</f>
        <v>40</v>
      </c>
      <c r="P79" s="26">
        <f>VLOOKUP($E79,'Retail Rates'!$B$7:$L$34,6,FALSE)</f>
        <v>180</v>
      </c>
      <c r="Q79" s="26">
        <f>VLOOKUP($E79,'Retail Rates'!$B$7:$L$34,9,FALSE)</f>
        <v>550</v>
      </c>
      <c r="R79" s="27">
        <f>VLOOKUP($E79,'Retail Rates'!$B$7:$L$34,7,FALSE)</f>
        <v>0.22778999999999999</v>
      </c>
      <c r="S79" s="27">
        <f>VLOOKUP($E79,'Retail Rates'!$B$7:$L$34,8,FALSE)</f>
        <v>0.17779</v>
      </c>
      <c r="T79" s="309">
        <v>75</v>
      </c>
      <c r="U79" s="26">
        <f>VLOOKUP($E79,'Retail Rates'!$B$7:$L$34,11,FALSE)</f>
        <v>0</v>
      </c>
      <c r="V79" s="309"/>
      <c r="W79" s="309"/>
      <c r="X79" s="28">
        <f>(+H79*O79)+(I79*O79)</f>
        <v>0</v>
      </c>
      <c r="Y79" s="28">
        <f t="shared" si="335"/>
        <v>900</v>
      </c>
      <c r="Z79" s="28">
        <f>(I79+J79)*Q79</f>
        <v>2750</v>
      </c>
      <c r="AA79" s="28">
        <f t="shared" si="321"/>
        <v>1138.95</v>
      </c>
      <c r="AB79" s="28">
        <f t="shared" si="336"/>
        <v>57082.532812772602</v>
      </c>
      <c r="AC79" s="28">
        <f t="shared" si="337"/>
        <v>150</v>
      </c>
      <c r="AD79" s="28">
        <f>(I79+J79)*V79</f>
        <v>0</v>
      </c>
      <c r="AE79" s="28"/>
      <c r="AF79" s="28">
        <f t="shared" si="322"/>
        <v>0</v>
      </c>
      <c r="AG79" s="28"/>
      <c r="AH79" s="48">
        <f ca="1">SUMIFS(Adjustments!H$5:H$557,Adjustments!$B$5:$B$557,'Jul17-Jun18 Retail'!#REF!,Adjustments!$C$5:$C$557,'Jul17-Jun18 Retail'!#REF!)</f>
        <v>0</v>
      </c>
      <c r="AI79" s="48">
        <f ca="1">SUMIFS(Adjustments!I$5:I$557,Adjustments!$B$5:$B$557,'Jul17-Jun18 Retail'!#REF!,Adjustments!$C$5:$C$557,'Jul17-Jun18 Retail'!#REF!)</f>
        <v>0</v>
      </c>
      <c r="AJ79" s="40">
        <f ca="1">SUMIFS(Adjustments!J$5:J$557,Adjustments!$B$5:$B$557,'Jul17-Jun18 Retail'!#REF!,Adjustments!$C$5:$C$557,'Jul17-Jun18 Retail'!#REF!)</f>
        <v>0</v>
      </c>
      <c r="AK79" s="40">
        <f ca="1">SUMIFS(Adjustments!K$5:K$557,Adjustments!$B$5:$B$557,'Jul17-Jun18 Retail'!#REF!,Adjustments!$C$5:$C$557,'Jul17-Jun18 Retail'!#REF!)</f>
        <v>0</v>
      </c>
      <c r="AL79" s="40">
        <f ca="1">SUMIFS(Adjustments!L$5:L$557,Adjustments!$B$5:$B$557,'Jul17-Jun18 Retail'!#REF!,Adjustments!$C$5:$C$557,'Jul17-Jun18 Retail'!#REF!)</f>
        <v>0</v>
      </c>
      <c r="AM79" s="40">
        <f ca="1">SUMIFS(Adjustments!M$5:M$557,Adjustments!$B$5:$B$557,'Jul17-Jun18 Retail'!#REF!,Adjustments!$C$5:$C$557,'Jul17-Jun18 Retail'!#REF!)</f>
        <v>0</v>
      </c>
      <c r="AN79" s="40">
        <f ca="1">SUMIFS(Adjustments!N$5:N$557,Adjustments!$B$5:$B$557,'Jul17-Jun18 Retail'!#REF!,Adjustments!$C$5:$C$557,'Jul17-Jun18 Retail'!#REF!)</f>
        <v>0</v>
      </c>
      <c r="AO79" s="40">
        <f ca="1">SUMIFS(Adjustments!O$5:O$557,Adjustments!$B$5:$B$557,'Jul17-Jun18 Retail'!#REF!,Adjustments!$C$5:$C$557,'Jul17-Jun18 Retail'!#REF!)</f>
        <v>0</v>
      </c>
      <c r="AP79" s="40">
        <f ca="1">SUMIFS(Adjustments!P$5:P$557,Adjustments!$B$5:$B$557,'Jul17-Jun18 Retail'!#REF!,Adjustments!$C$5:$C$557,'Jul17-Jun18 Retail'!#REF!)</f>
        <v>0</v>
      </c>
      <c r="AQ79" s="28">
        <f t="shared" ca="1" si="323"/>
        <v>0</v>
      </c>
      <c r="AR79" s="28">
        <f t="shared" ca="1" si="339"/>
        <v>900</v>
      </c>
      <c r="AS79" s="28">
        <f t="shared" ca="1" si="324"/>
        <v>1138.95</v>
      </c>
      <c r="AT79" s="28">
        <f t="shared" ca="1" si="325"/>
        <v>57082.532812772602</v>
      </c>
      <c r="AU79" s="28">
        <f t="shared" si="340"/>
        <v>2750</v>
      </c>
      <c r="AV79" s="28">
        <f t="shared" si="341"/>
        <v>150</v>
      </c>
      <c r="AW79" s="35">
        <f t="shared" si="342"/>
        <v>0</v>
      </c>
      <c r="AX79" s="35">
        <f t="shared" si="343"/>
        <v>0</v>
      </c>
      <c r="AY79" s="35">
        <f t="shared" si="344"/>
        <v>0</v>
      </c>
      <c r="AZ79" s="35">
        <f t="shared" si="326"/>
        <v>7906.3570264852397</v>
      </c>
      <c r="BA79" s="28">
        <f t="shared" ca="1" si="327"/>
        <v>0</v>
      </c>
      <c r="BB79" s="28"/>
      <c r="BC79" s="35">
        <f ca="1">ROUND(SUM(AQ79:BB79),2)</f>
        <v>69927.839999999997</v>
      </c>
      <c r="BD79" s="35">
        <f t="shared" si="345"/>
        <v>69927.839838608139</v>
      </c>
      <c r="BE79" s="36">
        <f t="shared" ca="1" si="329"/>
        <v>1</v>
      </c>
      <c r="BF79" s="35">
        <f>SUMIFS('Fin Forecast'!$U$3:$U$600,'Fin Forecast'!$B$3:$B$600,'Jul17-Jun18 Transport'!$E79,'Fin Forecast'!$C$3:$C$600,'Jul17-Jun18 Transport'!$BF$5)*1000</f>
        <v>0</v>
      </c>
      <c r="BG79" s="35">
        <f>SUMIFS('Fin Forecast'!$U$3:$U$600,'Fin Forecast'!$B$3:$B$600,'Jul17-Jun18 Transport'!$E79,'Fin Forecast'!$C$3:$C$600,'Jul17-Jun18 Transport'!$BG$5)*1000</f>
        <v>0</v>
      </c>
      <c r="BH79" s="35"/>
      <c r="BI79" s="35">
        <f>SUMIFS('Fin Forecast'!$U$3:$U$600,'Fin Forecast'!$B$3:$B$600,'Jul17-Jun18 Transport'!$E79,'Fin Forecast'!$C$3:$C$600,'Jul17-Jun18 Transport'!$BI$5)*1000</f>
        <v>150</v>
      </c>
      <c r="BJ79" s="35">
        <f>SUMIFS('Fin Forecast'!$U$3:$U$600,'Fin Forecast'!$B$3:$B$600,'Jul17-Jun18 Transport'!$E79,'Fin Forecast'!$C$3:$C$600,'Jul17-Jun18 Transport'!$BJ$5)*1000</f>
        <v>2750</v>
      </c>
      <c r="BK79" s="35">
        <f>SUMIFS('Fin Forecast'!$U$3:$U$600,'Fin Forecast'!$B$3:$B$600,'Jul17-Jun18 Transport'!$E79,'Fin Forecast'!$C$3:$C$600,'Jul17-Jun18 Transport'!$BK$5)*1000</f>
        <v>900</v>
      </c>
      <c r="BL79" s="35">
        <f>SUMIFS('Fin Forecast'!$U$3:$U$600,'Fin Forecast'!$B$3:$B$600,'Jul17-Jun18 Transport'!$E79,'Fin Forecast'!$C$3:$C$600,'Jul17-Jun18 Transport'!$BL$5)*1000</f>
        <v>58221.4828121229</v>
      </c>
      <c r="BM79" s="35">
        <f>SUMIFS('Fin Forecast'!$U$3:$U$600,'Fin Forecast'!$B$3:$B$600,'Jul17-Jun18 Transport'!$E79,'Fin Forecast'!$C$3:$C$600,'Jul17-Jun18 Transport'!$BM$5)*1000</f>
        <v>0</v>
      </c>
      <c r="BN79" s="35">
        <f>SUMIFS('Fin Forecast'!$U$3:$U$600,'Fin Forecast'!$B$3:$B$600,'Jul17-Jun18 Transport'!$E79,'Fin Forecast'!$C$3:$C$600,'Jul17-Jun18 Transport'!$BN$5)*1000</f>
        <v>7906.3570264852397</v>
      </c>
      <c r="BP79" s="44">
        <f t="shared" ca="1" si="330"/>
        <v>1.6139185754582286E-4</v>
      </c>
      <c r="BR79" s="49">
        <f t="shared" ca="1" si="331"/>
        <v>0</v>
      </c>
      <c r="BS79" s="49">
        <f t="shared" ca="1" si="332"/>
        <v>6.4969935920089483E-7</v>
      </c>
      <c r="BT79" s="49">
        <f t="shared" si="333"/>
        <v>0</v>
      </c>
    </row>
    <row r="80" spans="1:72" ht="15" x14ac:dyDescent="0.25">
      <c r="C80" s="6">
        <f t="shared" si="346"/>
        <v>64</v>
      </c>
      <c r="D80" s="361">
        <f t="shared" si="347"/>
        <v>43221</v>
      </c>
      <c r="E80" s="361" t="s">
        <v>87</v>
      </c>
      <c r="F80" s="6" t="str">
        <f t="shared" si="334"/>
        <v>892</v>
      </c>
      <c r="G80" s="6" t="str">
        <f>VLOOKUP(E80,'Retail Rates'!$B$7:$D$34,3,FALSE)</f>
        <v>AAGS-I-TS-2</v>
      </c>
      <c r="H80" s="25">
        <f>SUMIF('Forcasted Customer Cts'!$D$5:$D$36,'Jul17-Jun18 Transport'!$E80,'Forcasted Customer Cts'!$Z$5:$Z$36)</f>
        <v>2</v>
      </c>
      <c r="I80" s="25"/>
      <c r="J80" s="25"/>
      <c r="K80" s="25">
        <f>SUMIF('Forecasted Calendar Month Usage'!$D$5:$D$41,'Jul17-Jun18 Transport'!$E80,'Forecasted Calendar Month Usage'!$AH$5:$AH$41)*10</f>
        <v>81644.209796613664</v>
      </c>
      <c r="L80" s="25"/>
      <c r="M80" s="25"/>
      <c r="N80" s="25"/>
      <c r="O80" s="26">
        <f>VLOOKUP($E80,'Retail Rates'!$B$7:$L$34,5,FALSE)</f>
        <v>400</v>
      </c>
      <c r="P80" s="26">
        <f>VLOOKUP($E80,'Retail Rates'!$B$7:$L$34,6,FALSE)</f>
        <v>0</v>
      </c>
      <c r="Q80" s="26">
        <f>VLOOKUP($E80,'Retail Rates'!$B$7:$L$34,9,FALSE)</f>
        <v>550</v>
      </c>
      <c r="R80" s="27">
        <f>VLOOKUP($E80,'Retail Rates'!$B$7:$L$34,7,FALSE)</f>
        <v>7.009E-2</v>
      </c>
      <c r="S80" s="27">
        <f>VLOOKUP($E80,'Retail Rates'!$B$7:$L$34,8,FALSE)</f>
        <v>0</v>
      </c>
      <c r="T80" s="309">
        <v>75</v>
      </c>
      <c r="U80" s="26">
        <f>VLOOKUP($E80,'Retail Rates'!$B$7:$L$34,11,FALSE)</f>
        <v>0</v>
      </c>
      <c r="V80" s="309"/>
      <c r="W80" s="309"/>
      <c r="X80" s="28">
        <f t="shared" ref="X80:X82" si="348">(+H80*O80)+(I80*O80)</f>
        <v>800</v>
      </c>
      <c r="Y80" s="28">
        <f t="shared" si="335"/>
        <v>0</v>
      </c>
      <c r="Z80" s="28">
        <f t="shared" ref="Z80:Z82" si="349">H80*Q80</f>
        <v>1100</v>
      </c>
      <c r="AA80" s="28">
        <f t="shared" si="321"/>
        <v>5722.4426646446518</v>
      </c>
      <c r="AB80" s="28">
        <f t="shared" si="336"/>
        <v>0</v>
      </c>
      <c r="AC80" s="28">
        <f t="shared" si="337"/>
        <v>0</v>
      </c>
      <c r="AD80" s="28">
        <f t="shared" ref="AD80:AD82" si="350">H80*V80</f>
        <v>0</v>
      </c>
      <c r="AE80" s="28"/>
      <c r="AF80" s="28">
        <f t="shared" si="322"/>
        <v>0</v>
      </c>
      <c r="AG80" s="28"/>
      <c r="AH80" s="48">
        <f ca="1">SUMIFS(Adjustments!H$5:H$557,Adjustments!$B$5:$B$557,'Jul17-Jun18 Retail'!$D79,Adjustments!$C$5:$C$557,'Jul17-Jun18 Retail'!$E79)</f>
        <v>0</v>
      </c>
      <c r="AI80" s="48">
        <f ca="1">SUMIFS(Adjustments!I$5:I$557,Adjustments!$B$5:$B$557,'Jul17-Jun18 Retail'!$D79,Adjustments!$C$5:$C$557,'Jul17-Jun18 Retail'!$E79)</f>
        <v>0</v>
      </c>
      <c r="AJ80" s="40">
        <f ca="1">SUMIFS(Adjustments!J$5:J$557,Adjustments!$B$5:$B$557,'Jul17-Jun18 Retail'!$D79,Adjustments!$C$5:$C$557,'Jul17-Jun18 Retail'!$E79)</f>
        <v>0</v>
      </c>
      <c r="AK80" s="40">
        <f ca="1">SUMIFS(Adjustments!K$5:K$557,Adjustments!$B$5:$B$557,'Jul17-Jun18 Retail'!$D79,Adjustments!$C$5:$C$557,'Jul17-Jun18 Retail'!$E79)</f>
        <v>0</v>
      </c>
      <c r="AL80" s="40">
        <f ca="1">SUMIFS(Adjustments!L$5:L$557,Adjustments!$B$5:$B$557,'Jul17-Jun18 Retail'!$D79,Adjustments!$C$5:$C$557,'Jul17-Jun18 Retail'!$E79)</f>
        <v>0</v>
      </c>
      <c r="AM80" s="40">
        <f ca="1">SUMIFS(Adjustments!M$5:M$557,Adjustments!$B$5:$B$557,'Jul17-Jun18 Retail'!$D79,Adjustments!$C$5:$C$557,'Jul17-Jun18 Retail'!$E79)</f>
        <v>0</v>
      </c>
      <c r="AN80" s="40">
        <f ca="1">SUMIFS(Adjustments!N$5:N$557,Adjustments!$B$5:$B$557,'Jul17-Jun18 Retail'!$D79,Adjustments!$C$5:$C$557,'Jul17-Jun18 Retail'!$E79)</f>
        <v>0</v>
      </c>
      <c r="AO80" s="40">
        <f ca="1">SUMIFS(Adjustments!O$5:O$557,Adjustments!$B$5:$B$557,'Jul17-Jun18 Retail'!$D79,Adjustments!$C$5:$C$557,'Jul17-Jun18 Retail'!$E79)</f>
        <v>0</v>
      </c>
      <c r="AP80" s="40">
        <f ca="1">SUMIFS(Adjustments!P$5:P$557,Adjustments!$B$5:$B$557,'Jul17-Jun18 Retail'!$D79,Adjustments!$C$5:$C$557,'Jul17-Jun18 Retail'!$E79)</f>
        <v>0</v>
      </c>
      <c r="AQ80" s="28">
        <f t="shared" ca="1" si="323"/>
        <v>800</v>
      </c>
      <c r="AR80" s="28">
        <f t="shared" ca="1" si="339"/>
        <v>0</v>
      </c>
      <c r="AS80" s="28">
        <f t="shared" ca="1" si="324"/>
        <v>5722.4426646446518</v>
      </c>
      <c r="AT80" s="28">
        <f t="shared" ca="1" si="325"/>
        <v>0</v>
      </c>
      <c r="AU80" s="28">
        <f t="shared" si="340"/>
        <v>1100</v>
      </c>
      <c r="AV80" s="28">
        <f t="shared" si="341"/>
        <v>0</v>
      </c>
      <c r="AW80" s="35">
        <f t="shared" si="342"/>
        <v>0</v>
      </c>
      <c r="AX80" s="35">
        <f t="shared" si="343"/>
        <v>0</v>
      </c>
      <c r="AY80" s="35">
        <f t="shared" si="344"/>
        <v>0</v>
      </c>
      <c r="AZ80" s="35">
        <f t="shared" si="326"/>
        <v>2947.7194445384903</v>
      </c>
      <c r="BA80" s="28">
        <f t="shared" ca="1" si="327"/>
        <v>0</v>
      </c>
      <c r="BB80" s="28"/>
      <c r="BC80" s="35">
        <f t="shared" ref="BC80:BC82" ca="1" si="351">ROUND(SUM(AQ80:BB80),2)</f>
        <v>10570.16</v>
      </c>
      <c r="BD80" s="35">
        <f t="shared" si="345"/>
        <v>10570.16210918314</v>
      </c>
      <c r="BE80" s="36">
        <f t="shared" ca="1" si="329"/>
        <v>1</v>
      </c>
      <c r="BF80" s="35">
        <f>SUMIFS('Fin Forecast'!$U$3:$U$600,'Fin Forecast'!$B$3:$B$600,'Jul17-Jun18 Transport'!$E80,'Fin Forecast'!$C$3:$C$600,'Jul17-Jun18 Transport'!$BF$5)*1000</f>
        <v>0</v>
      </c>
      <c r="BG80" s="35">
        <f>SUMIFS('Fin Forecast'!$U$3:$U$600,'Fin Forecast'!$B$3:$B$600,'Jul17-Jun18 Transport'!$E80,'Fin Forecast'!$C$3:$C$600,'Jul17-Jun18 Transport'!$BG$5)*1000</f>
        <v>0</v>
      </c>
      <c r="BH80" s="35"/>
      <c r="BI80" s="35">
        <f>SUMIFS('Fin Forecast'!$U$3:$U$600,'Fin Forecast'!$B$3:$B$600,'Jul17-Jun18 Transport'!$E80,'Fin Forecast'!$C$3:$C$600,'Jul17-Jun18 Transport'!$BI$5)*1000</f>
        <v>0</v>
      </c>
      <c r="BJ80" s="35">
        <f>SUMIFS('Fin Forecast'!$U$3:$U$600,'Fin Forecast'!$B$3:$B$600,'Jul17-Jun18 Transport'!$E80,'Fin Forecast'!$C$3:$C$600,'Jul17-Jun18 Transport'!$BJ$5)*1000</f>
        <v>1100</v>
      </c>
      <c r="BK80" s="35">
        <f>SUMIFS('Fin Forecast'!$U$3:$U$600,'Fin Forecast'!$B$3:$B$600,'Jul17-Jun18 Transport'!$E80,'Fin Forecast'!$C$3:$C$600,'Jul17-Jun18 Transport'!$BK$5)*1000</f>
        <v>800</v>
      </c>
      <c r="BL80" s="35">
        <f>SUMIFS('Fin Forecast'!$U$3:$U$600,'Fin Forecast'!$B$3:$B$600,'Jul17-Jun18 Transport'!$E80,'Fin Forecast'!$C$3:$C$600,'Jul17-Jun18 Transport'!$BL$5)*1000</f>
        <v>5722.44266464465</v>
      </c>
      <c r="BM80" s="35">
        <f>SUMIFS('Fin Forecast'!$U$3:$U$600,'Fin Forecast'!$B$3:$B$600,'Jul17-Jun18 Transport'!$E80,'Fin Forecast'!$C$3:$C$600,'Jul17-Jun18 Transport'!$BM$5)*1000</f>
        <v>0</v>
      </c>
      <c r="BN80" s="35">
        <f>SUMIFS('Fin Forecast'!$U$3:$U$600,'Fin Forecast'!$B$3:$B$600,'Jul17-Jun18 Transport'!$E80,'Fin Forecast'!$C$3:$C$600,'Jul17-Jun18 Transport'!$BN$5)*1000</f>
        <v>2947.7194445384903</v>
      </c>
      <c r="BP80" s="44">
        <f t="shared" ca="1" si="330"/>
        <v>-2.1091831404191907E-3</v>
      </c>
      <c r="BR80" s="49">
        <f t="shared" ca="1" si="331"/>
        <v>0</v>
      </c>
      <c r="BS80" s="49">
        <f t="shared" ca="1" si="332"/>
        <v>0</v>
      </c>
      <c r="BT80" s="49">
        <f t="shared" si="333"/>
        <v>0</v>
      </c>
    </row>
    <row r="81" spans="1:72" ht="15" x14ac:dyDescent="0.25">
      <c r="C81" s="6">
        <f t="shared" si="346"/>
        <v>65</v>
      </c>
      <c r="D81" s="361">
        <f t="shared" si="347"/>
        <v>43221</v>
      </c>
      <c r="E81" s="361" t="s">
        <v>51</v>
      </c>
      <c r="F81" s="6" t="str">
        <f t="shared" si="334"/>
        <v>997</v>
      </c>
      <c r="G81" s="6" t="str">
        <f>VLOOKUP(E81,'Retail Rates'!$B$7:$D$34,3,FALSE)</f>
        <v>SPC-P</v>
      </c>
      <c r="H81" s="25">
        <f>SUMIF('Forcasted Customer Cts'!$D$5:$D$36,'Jul17-Jun18 Transport'!$E81,'Forcasted Customer Cts'!$Z$5:$Z$36)</f>
        <v>0</v>
      </c>
      <c r="I81" s="25"/>
      <c r="J81" s="25"/>
      <c r="K81" s="25">
        <f>SUMIF('Forecasted Calendar Month Usage'!$D$5:$D$41,'Jul17-Jun18 Transport'!$E81,'Forecasted Calendar Month Usage'!$AH$5:$AH$41)</f>
        <v>0</v>
      </c>
      <c r="L81" s="25"/>
      <c r="M81" s="25"/>
      <c r="N81" s="25"/>
      <c r="O81" s="26">
        <f>VLOOKUP($E81,'Retail Rates'!$B$7:$L$34,5,FALSE)</f>
        <v>800</v>
      </c>
      <c r="P81" s="26">
        <f>VLOOKUP($E81,'Retail Rates'!$B$7:$L$34,6,FALSE)</f>
        <v>0</v>
      </c>
      <c r="Q81" s="26">
        <f>VLOOKUP($E81,'Retail Rates'!$B$7:$L$34,9,FALSE)</f>
        <v>0</v>
      </c>
      <c r="R81" s="27">
        <f>VLOOKUP($E81,'Retail Rates'!$B$7:$L$34,7,FALSE)</f>
        <v>4.9699999999999996E-3</v>
      </c>
      <c r="S81" s="27">
        <f>VLOOKUP($E81,'Retail Rates'!$B$7:$L$34,8,FALSE)</f>
        <v>0</v>
      </c>
      <c r="T81" s="309">
        <v>0</v>
      </c>
      <c r="U81" s="403">
        <f>VLOOKUP($E81,'Retail Rates'!$B$7:$L$34,11,FALSE)</f>
        <v>0.24801000000000001</v>
      </c>
      <c r="V81" s="27"/>
      <c r="W81" s="309"/>
      <c r="X81" s="28">
        <f t="shared" si="348"/>
        <v>0</v>
      </c>
      <c r="Y81" s="28">
        <f t="shared" si="335"/>
        <v>0</v>
      </c>
      <c r="Z81" s="28">
        <f t="shared" si="349"/>
        <v>0</v>
      </c>
      <c r="AA81" s="28">
        <f t="shared" si="321"/>
        <v>0</v>
      </c>
      <c r="AB81" s="28">
        <f t="shared" si="336"/>
        <v>0</v>
      </c>
      <c r="AC81" s="28">
        <f t="shared" si="337"/>
        <v>0</v>
      </c>
      <c r="AD81" s="28">
        <f t="shared" si="350"/>
        <v>0</v>
      </c>
      <c r="AE81" s="28"/>
      <c r="AF81" s="28">
        <f t="shared" si="322"/>
        <v>0</v>
      </c>
      <c r="AG81" s="28"/>
      <c r="AH81" s="48">
        <f ca="1">SUMIFS(Adjustments!H$5:H$557,Adjustments!$B$5:$B$557,'Jul17-Jun18 Retail'!#REF!,Adjustments!$C$5:$C$557,'Jul17-Jun18 Retail'!#REF!)</f>
        <v>0</v>
      </c>
      <c r="AI81" s="48">
        <f ca="1">SUMIFS(Adjustments!I$5:I$557,Adjustments!$B$5:$B$557,'Jul17-Jun18 Retail'!#REF!,Adjustments!$C$5:$C$557,'Jul17-Jun18 Retail'!#REF!)</f>
        <v>0</v>
      </c>
      <c r="AJ81" s="40">
        <f ca="1">SUMIFS(Adjustments!J$5:J$557,Adjustments!$B$5:$B$557,'Jul17-Jun18 Retail'!#REF!,Adjustments!$C$5:$C$557,'Jul17-Jun18 Retail'!#REF!)</f>
        <v>0</v>
      </c>
      <c r="AK81" s="40">
        <f ca="1">SUMIFS(Adjustments!K$5:K$557,Adjustments!$B$5:$B$557,'Jul17-Jun18 Retail'!#REF!,Adjustments!$C$5:$C$557,'Jul17-Jun18 Retail'!#REF!)</f>
        <v>0</v>
      </c>
      <c r="AL81" s="40">
        <f ca="1">SUMIFS(Adjustments!L$5:L$557,Adjustments!$B$5:$B$557,'Jul17-Jun18 Retail'!#REF!,Adjustments!$C$5:$C$557,'Jul17-Jun18 Retail'!#REF!)</f>
        <v>0</v>
      </c>
      <c r="AM81" s="40">
        <f ca="1">SUMIFS(Adjustments!M$5:M$557,Adjustments!$B$5:$B$557,'Jul17-Jun18 Retail'!#REF!,Adjustments!$C$5:$C$557,'Jul17-Jun18 Retail'!#REF!)</f>
        <v>0</v>
      </c>
      <c r="AN81" s="40">
        <f ca="1">SUMIFS(Adjustments!N$5:N$557,Adjustments!$B$5:$B$557,'Jul17-Jun18 Retail'!#REF!,Adjustments!$C$5:$C$557,'Jul17-Jun18 Retail'!#REF!)</f>
        <v>0</v>
      </c>
      <c r="AO81" s="40">
        <f ca="1">SUMIFS(Adjustments!O$5:O$557,Adjustments!$B$5:$B$557,'Jul17-Jun18 Retail'!#REF!,Adjustments!$C$5:$C$557,'Jul17-Jun18 Retail'!#REF!)</f>
        <v>0</v>
      </c>
      <c r="AP81" s="40">
        <f ca="1">SUMIFS(Adjustments!P$5:P$557,Adjustments!$B$5:$B$557,'Jul17-Jun18 Retail'!#REF!,Adjustments!$C$5:$C$557,'Jul17-Jun18 Retail'!#REF!)</f>
        <v>0</v>
      </c>
      <c r="AQ81" s="28">
        <f t="shared" ca="1" si="323"/>
        <v>0</v>
      </c>
      <c r="AR81" s="28">
        <f t="shared" ca="1" si="339"/>
        <v>0</v>
      </c>
      <c r="AS81" s="28">
        <f t="shared" ca="1" si="324"/>
        <v>0</v>
      </c>
      <c r="AT81" s="28">
        <f t="shared" ca="1" si="325"/>
        <v>0</v>
      </c>
      <c r="AU81" s="28">
        <f t="shared" si="340"/>
        <v>0</v>
      </c>
      <c r="AV81" s="28">
        <f t="shared" si="341"/>
        <v>0</v>
      </c>
      <c r="AW81" s="35">
        <f t="shared" si="342"/>
        <v>0</v>
      </c>
      <c r="AX81" s="35">
        <f t="shared" si="343"/>
        <v>0</v>
      </c>
      <c r="AY81" s="35">
        <f t="shared" si="344"/>
        <v>0</v>
      </c>
      <c r="AZ81" s="35">
        <f t="shared" si="326"/>
        <v>0</v>
      </c>
      <c r="BA81" s="28">
        <f t="shared" ca="1" si="327"/>
        <v>0</v>
      </c>
      <c r="BB81" s="28"/>
      <c r="BC81" s="35">
        <f t="shared" ca="1" si="351"/>
        <v>0</v>
      </c>
      <c r="BD81" s="35">
        <f t="shared" si="345"/>
        <v>0</v>
      </c>
      <c r="BE81" s="36">
        <f t="shared" si="329"/>
        <v>0</v>
      </c>
      <c r="BF81" s="35">
        <f>SUMIFS('Fin Forecast'!$U$3:$U$600,'Fin Forecast'!$B$3:$B$600,'Jul17-Jun18 Transport'!$E81,'Fin Forecast'!$C$3:$C$600,'Jul17-Jun18 Transport'!$BF$5)*1000</f>
        <v>0</v>
      </c>
      <c r="BG81" s="35">
        <f>SUMIFS('Fin Forecast'!$U$3:$U$600,'Fin Forecast'!$B$3:$B$600,'Jul17-Jun18 Transport'!$E81,'Fin Forecast'!$C$3:$C$600,'Jul17-Jun18 Transport'!$BG$5)*1000</f>
        <v>0</v>
      </c>
      <c r="BH81" s="35"/>
      <c r="BI81" s="35">
        <f>SUMIFS('Fin Forecast'!$U$3:$U$600,'Fin Forecast'!$B$3:$B$600,'Jul17-Jun18 Transport'!$E81,'Fin Forecast'!$C$3:$C$600,'Jul17-Jun18 Transport'!$BI$5)*1000</f>
        <v>0</v>
      </c>
      <c r="BJ81" s="35">
        <f>SUMIFS('Fin Forecast'!$U$3:$U$600,'Fin Forecast'!$B$3:$B$600,'Jul17-Jun18 Transport'!$E81,'Fin Forecast'!$C$3:$C$600,'Jul17-Jun18 Transport'!$BJ$5)*1000</f>
        <v>0</v>
      </c>
      <c r="BK81" s="35">
        <f>SUMIFS('Fin Forecast'!$U$3:$U$600,'Fin Forecast'!$B$3:$B$600,'Jul17-Jun18 Transport'!$E81,'Fin Forecast'!$C$3:$C$600,'Jul17-Jun18 Transport'!$BK$5)*1000</f>
        <v>0</v>
      </c>
      <c r="BL81" s="35">
        <f>SUMIFS('Fin Forecast'!$U$3:$U$600,'Fin Forecast'!$B$3:$B$600,'Jul17-Jun18 Transport'!$E81,'Fin Forecast'!$C$3:$C$600,'Jul17-Jun18 Transport'!$BL$5)*1000</f>
        <v>0</v>
      </c>
      <c r="BM81" s="35">
        <f>SUMIFS('Fin Forecast'!$U$3:$U$600,'Fin Forecast'!$B$3:$B$600,'Jul17-Jun18 Transport'!$E81,'Fin Forecast'!$C$3:$C$600,'Jul17-Jun18 Transport'!$BM$5)*1000</f>
        <v>0</v>
      </c>
      <c r="BN81" s="35">
        <f>SUMIFS('Fin Forecast'!$U$3:$U$600,'Fin Forecast'!$B$3:$B$600,'Jul17-Jun18 Transport'!$E81,'Fin Forecast'!$C$3:$C$600,'Jul17-Jun18 Transport'!$BN$5)*1000</f>
        <v>0</v>
      </c>
      <c r="BP81" s="44">
        <f t="shared" ca="1" si="330"/>
        <v>0</v>
      </c>
      <c r="BR81" s="49">
        <f t="shared" ca="1" si="331"/>
        <v>0</v>
      </c>
      <c r="BS81" s="49">
        <f t="shared" ca="1" si="332"/>
        <v>0</v>
      </c>
      <c r="BT81" s="49">
        <f t="shared" si="333"/>
        <v>0</v>
      </c>
    </row>
    <row r="82" spans="1:72" ht="15" x14ac:dyDescent="0.25">
      <c r="A82" s="304"/>
      <c r="C82" s="6">
        <f t="shared" si="346"/>
        <v>66</v>
      </c>
      <c r="D82" s="361">
        <f t="shared" si="347"/>
        <v>43221</v>
      </c>
      <c r="E82" s="361" t="s">
        <v>34</v>
      </c>
      <c r="F82" s="6" t="str">
        <f t="shared" si="334"/>
        <v>996</v>
      </c>
      <c r="G82" s="6" t="s">
        <v>754</v>
      </c>
      <c r="H82" s="25">
        <f>SUMIF('Forcasted Customer Cts'!$D$5:$D$36,'Jul17-Jun18 Transport'!$E82,'Forcasted Customer Cts'!$Z$5:$Z$36)</f>
        <v>1</v>
      </c>
      <c r="I82" s="25"/>
      <c r="J82" s="25"/>
      <c r="K82" s="25">
        <f>SUMIF('Forecasted Calendar Month Usage'!$D$5:$D$41,'Jul17-Jun18 Transport'!$E82,'Forecasted Calendar Month Usage'!$AH$5:$AH$41)*10</f>
        <v>122795.99999999997</v>
      </c>
      <c r="L82" s="25"/>
      <c r="M82" s="25"/>
      <c r="N82" s="25">
        <f>16560*10</f>
        <v>165600</v>
      </c>
      <c r="O82" s="26">
        <f>VLOOKUP($E82,'Retail Rates'!$B$7:$L$34,5,FALSE)</f>
        <v>180</v>
      </c>
      <c r="P82" s="26">
        <f>VLOOKUP($E82,'Retail Rates'!$B$7:$L$34,6,FALSE)</f>
        <v>0</v>
      </c>
      <c r="Q82" s="26">
        <f>VLOOKUP($E82,'Retail Rates'!$B$7:$L$34,9,FALSE)</f>
        <v>0</v>
      </c>
      <c r="R82" s="27">
        <f>VLOOKUP($E82,'Retail Rates'!$B$7:$L$34,7,FALSE)</f>
        <v>3.329E-2</v>
      </c>
      <c r="S82" s="27">
        <f>VLOOKUP($E82,'Retail Rates'!$B$7:$L$34,8,FALSE)</f>
        <v>0</v>
      </c>
      <c r="T82" s="309">
        <v>0</v>
      </c>
      <c r="U82" s="403">
        <f>VLOOKUP($E82,'Retail Rates'!$B$7:$L$34,11,FALSE)</f>
        <v>1.12629</v>
      </c>
      <c r="V82" s="27"/>
      <c r="W82" s="309"/>
      <c r="X82" s="28">
        <f t="shared" si="348"/>
        <v>180</v>
      </c>
      <c r="Y82" s="28">
        <f t="shared" si="335"/>
        <v>0</v>
      </c>
      <c r="Z82" s="28">
        <f t="shared" si="349"/>
        <v>0</v>
      </c>
      <c r="AA82" s="28">
        <f t="shared" si="321"/>
        <v>4087.8788399999989</v>
      </c>
      <c r="AB82" s="28">
        <f t="shared" si="336"/>
        <v>0</v>
      </c>
      <c r="AC82" s="28">
        <f t="shared" si="337"/>
        <v>0</v>
      </c>
      <c r="AD82" s="28">
        <f t="shared" si="350"/>
        <v>0</v>
      </c>
      <c r="AE82" s="28"/>
      <c r="AF82" s="28">
        <f>N82*U82</f>
        <v>186513.62400000001</v>
      </c>
      <c r="AG82" s="28"/>
      <c r="AH82" s="48">
        <f ca="1">SUMIFS(Adjustments!H$5:H$557,Adjustments!$B$5:$B$557,'Jul17-Jun18 Retail'!$D80,Adjustments!$C$5:$C$557,'Jul17-Jun18 Retail'!$E80)</f>
        <v>0</v>
      </c>
      <c r="AI82" s="48">
        <f ca="1">SUMIFS(Adjustments!I$5:I$557,Adjustments!$B$5:$B$557,'Jul17-Jun18 Retail'!$D80,Adjustments!$C$5:$C$557,'Jul17-Jun18 Retail'!$E80)</f>
        <v>0</v>
      </c>
      <c r="AJ82" s="40">
        <f ca="1">SUMIFS(Adjustments!J$5:J$557,Adjustments!$B$5:$B$557,'Jul17-Jun18 Retail'!$D80,Adjustments!$C$5:$C$557,'Jul17-Jun18 Retail'!$E80)</f>
        <v>0</v>
      </c>
      <c r="AK82" s="40">
        <f ca="1">SUMIFS(Adjustments!K$5:K$557,Adjustments!$B$5:$B$557,'Jul17-Jun18 Retail'!$D80,Adjustments!$C$5:$C$557,'Jul17-Jun18 Retail'!$E80)</f>
        <v>0</v>
      </c>
      <c r="AL82" s="40">
        <f ca="1">SUMIFS(Adjustments!L$5:L$557,Adjustments!$B$5:$B$557,'Jul17-Jun18 Retail'!$D80,Adjustments!$C$5:$C$557,'Jul17-Jun18 Retail'!$E80)</f>
        <v>0</v>
      </c>
      <c r="AM82" s="40">
        <f ca="1">SUMIFS(Adjustments!M$5:M$557,Adjustments!$B$5:$B$557,'Jul17-Jun18 Retail'!$D80,Adjustments!$C$5:$C$557,'Jul17-Jun18 Retail'!$E80)</f>
        <v>0</v>
      </c>
      <c r="AN82" s="40">
        <f ca="1">SUMIFS(Adjustments!N$5:N$557,Adjustments!$B$5:$B$557,'Jul17-Jun18 Retail'!$D80,Adjustments!$C$5:$C$557,'Jul17-Jun18 Retail'!$E80)</f>
        <v>0</v>
      </c>
      <c r="AO82" s="40">
        <f ca="1">SUMIFS(Adjustments!O$5:O$557,Adjustments!$B$5:$B$557,'Jul17-Jun18 Retail'!$D80,Adjustments!$C$5:$C$557,'Jul17-Jun18 Retail'!$E80)</f>
        <v>0</v>
      </c>
      <c r="AP82" s="40">
        <f ca="1">SUMIFS(Adjustments!P$5:P$557,Adjustments!$B$5:$B$557,'Jul17-Jun18 Retail'!$D80,Adjustments!$C$5:$C$557,'Jul17-Jun18 Retail'!$E80)</f>
        <v>0</v>
      </c>
      <c r="AQ82" s="28">
        <f t="shared" ca="1" si="323"/>
        <v>180</v>
      </c>
      <c r="AR82" s="28">
        <f t="shared" ca="1" si="339"/>
        <v>0</v>
      </c>
      <c r="AS82" s="28">
        <f t="shared" ca="1" si="324"/>
        <v>4087.8788399999989</v>
      </c>
      <c r="AT82" s="28">
        <f t="shared" ca="1" si="325"/>
        <v>0</v>
      </c>
      <c r="AU82" s="28">
        <f t="shared" si="340"/>
        <v>0</v>
      </c>
      <c r="AV82" s="28">
        <f t="shared" si="341"/>
        <v>0</v>
      </c>
      <c r="AW82" s="35">
        <f t="shared" si="342"/>
        <v>62336.322634939999</v>
      </c>
      <c r="AX82" s="35">
        <f t="shared" si="343"/>
        <v>0</v>
      </c>
      <c r="AY82" s="35">
        <f t="shared" si="344"/>
        <v>0</v>
      </c>
      <c r="AZ82" s="35">
        <f t="shared" si="326"/>
        <v>0</v>
      </c>
      <c r="BA82" s="28">
        <f t="shared" ca="1" si="327"/>
        <v>186513.62400000001</v>
      </c>
      <c r="BB82" s="28"/>
      <c r="BC82" s="35">
        <f t="shared" ca="1" si="351"/>
        <v>253117.83</v>
      </c>
      <c r="BD82" s="35">
        <f t="shared" si="345"/>
        <v>253117.82547493998</v>
      </c>
      <c r="BE82" s="36">
        <f t="shared" ca="1" si="329"/>
        <v>1</v>
      </c>
      <c r="BF82" s="35">
        <f>SUMIFS('Fin Forecast'!$U$3:$U$600,'Fin Forecast'!$B$3:$B$600,'Jul17-Jun18 Transport'!$E82,'Fin Forecast'!$C$3:$C$600,'Jul17-Jun18 Transport'!$BF$5)*1000</f>
        <v>0</v>
      </c>
      <c r="BG82" s="35">
        <f>SUMIFS('Fin Forecast'!$U$3:$U$600,'Fin Forecast'!$B$3:$B$600,'Jul17-Jun18 Transport'!$E82,'Fin Forecast'!$C$3:$C$600,'Jul17-Jun18 Transport'!$BG$5)*1000</f>
        <v>62336.322634939999</v>
      </c>
      <c r="BH82" s="35"/>
      <c r="BI82" s="35">
        <f>SUMIFS('Fin Forecast'!$U$3:$U$600,'Fin Forecast'!$B$3:$B$600,'Jul17-Jun18 Transport'!$E82,'Fin Forecast'!$C$3:$C$600,'Jul17-Jun18 Transport'!$BI$5)*1000</f>
        <v>0</v>
      </c>
      <c r="BJ82" s="35">
        <f>SUMIFS('Fin Forecast'!$U$3:$U$600,'Fin Forecast'!$B$3:$B$600,'Jul17-Jun18 Transport'!$E82,'Fin Forecast'!$C$3:$C$600,'Jul17-Jun18 Transport'!$BJ$5)*1000</f>
        <v>0</v>
      </c>
      <c r="BK82" s="35">
        <f>SUMIFS('Fin Forecast'!$U$3:$U$600,'Fin Forecast'!$B$3:$B$600,'Jul17-Jun18 Transport'!$E82,'Fin Forecast'!$C$3:$C$600,'Jul17-Jun18 Transport'!$BK$5)*1000</f>
        <v>180</v>
      </c>
      <c r="BL82" s="35">
        <f>SUMIFS('Fin Forecast'!$U$3:$U$600,'Fin Forecast'!$B$3:$B$600,'Jul17-Jun18 Transport'!$E82,'Fin Forecast'!$C$3:$C$600,'Jul17-Jun18 Transport'!$BL$5)*1000</f>
        <v>4087.8788400000003</v>
      </c>
      <c r="BM82" s="35">
        <f>SUMIFS('Fin Forecast'!$U$3:$U$600,'Fin Forecast'!$B$3:$B$600,'Jul17-Jun18 Transport'!$E82,'Fin Forecast'!$C$3:$C$600,'Jul17-Jun18 Transport'!$BM$5)*1000</f>
        <v>186513.62399999998</v>
      </c>
      <c r="BN82" s="35">
        <f>SUMIFS('Fin Forecast'!$U$3:$U$600,'Fin Forecast'!$B$3:$B$600,'Jul17-Jun18 Transport'!$E82,'Fin Forecast'!$C$3:$C$600,'Jul17-Jun18 Transport'!$BN$5)*1000</f>
        <v>0</v>
      </c>
      <c r="BP82" s="44">
        <f t="shared" ca="1" si="330"/>
        <v>4.5250600087456405E-3</v>
      </c>
      <c r="BR82" s="49">
        <f t="shared" ca="1" si="331"/>
        <v>0</v>
      </c>
      <c r="BS82" s="49">
        <f t="shared" ca="1" si="332"/>
        <v>0</v>
      </c>
      <c r="BT82" s="49">
        <f t="shared" si="333"/>
        <v>0</v>
      </c>
    </row>
    <row r="83" spans="1:72" s="323" customFormat="1" ht="15" x14ac:dyDescent="0.25">
      <c r="C83" s="324"/>
      <c r="D83" s="362"/>
      <c r="E83" s="362"/>
      <c r="F83" s="324"/>
      <c r="G83" s="324"/>
      <c r="O83" s="326"/>
      <c r="P83" s="326"/>
      <c r="Q83" s="327"/>
      <c r="R83" s="327"/>
      <c r="S83" s="327"/>
      <c r="T83" s="326"/>
      <c r="U83" s="327"/>
      <c r="V83" s="327"/>
      <c r="W83" s="328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30"/>
      <c r="AI83" s="330"/>
      <c r="AJ83" s="329"/>
      <c r="AK83" s="329"/>
      <c r="AL83" s="329"/>
      <c r="AM83" s="329"/>
      <c r="AN83" s="329"/>
      <c r="AO83" s="329"/>
      <c r="AP83" s="329"/>
      <c r="AQ83" s="341"/>
      <c r="AR83" s="341"/>
      <c r="AS83" s="341"/>
      <c r="AT83" s="341"/>
      <c r="AU83" s="341"/>
      <c r="AV83" s="341"/>
      <c r="AW83" s="329"/>
      <c r="AX83" s="329"/>
      <c r="AY83" s="329"/>
      <c r="AZ83" s="329"/>
      <c r="BA83" s="329"/>
      <c r="BB83" s="329"/>
      <c r="BC83" s="329"/>
      <c r="BD83" s="329"/>
      <c r="BE83" s="331"/>
      <c r="BF83" s="341"/>
      <c r="BG83" s="341"/>
      <c r="BH83" s="341"/>
      <c r="BI83" s="341"/>
      <c r="BJ83" s="341"/>
      <c r="BK83" s="341"/>
      <c r="BL83" s="341"/>
      <c r="BM83" s="341"/>
      <c r="BN83" s="341"/>
      <c r="BP83" s="329"/>
      <c r="BR83" s="329"/>
      <c r="BS83" s="329"/>
      <c r="BT83" s="329"/>
    </row>
    <row r="84" spans="1:72" ht="15" x14ac:dyDescent="0.25">
      <c r="C84" s="6">
        <f>C82+1</f>
        <v>67</v>
      </c>
      <c r="D84" s="361">
        <f>EDATE(D77,1)</f>
        <v>43252</v>
      </c>
      <c r="E84" s="361" t="s">
        <v>41</v>
      </c>
      <c r="F84" s="6" t="str">
        <f>MID(E84,6,3)</f>
        <v>895</v>
      </c>
      <c r="G84" s="6" t="str">
        <f>VLOOKUP(E84,'Retail Rates'!$B$7:$D$34,3,FALSE)</f>
        <v>FT-C</v>
      </c>
      <c r="H84" s="25">
        <f>SUMIF('Forcasted Customer Cts'!$D$5:$D$36,'Jul17-Jun18 Transport'!$E84,'Forcasted Customer Cts'!$AA$5:$AA$36)</f>
        <v>73</v>
      </c>
      <c r="I84" s="25"/>
      <c r="J84" s="25"/>
      <c r="K84" s="25">
        <f>SUMIF('Forecasted Calendar Month Usage'!$D$5:$D$41,'Jul17-Jun18 Transport'!$E84,'Forecasted Calendar Month Usage'!$AI$5:$AI$41)*10</f>
        <v>6821984.4717049096</v>
      </c>
      <c r="L84" s="25"/>
      <c r="M84" s="25">
        <v>69</v>
      </c>
      <c r="N84" s="25"/>
      <c r="O84" s="26">
        <f>VLOOKUP($E84,'Retail Rates'!$B$7:$L$34,5,FALSE)</f>
        <v>0</v>
      </c>
      <c r="P84" s="26">
        <f>VLOOKUP($E84,'Retail Rates'!$B$7:$L$34,6,FALSE)</f>
        <v>0</v>
      </c>
      <c r="Q84" s="26">
        <f>VLOOKUP($E84,'Retail Rates'!$B$7:$L$34,9,FALSE)</f>
        <v>550</v>
      </c>
      <c r="R84" s="27">
        <f>VLOOKUP($E84,'Retail Rates'!$B$7:$L$34,7,FALSE)</f>
        <v>4.3020000000000003E-2</v>
      </c>
      <c r="S84" s="27">
        <f>VLOOKUP($E84,'Retail Rates'!$B$7:$L$34,8,FALSE)</f>
        <v>0</v>
      </c>
      <c r="T84" s="309">
        <v>75</v>
      </c>
      <c r="U84" s="26">
        <f>VLOOKUP($E84,'Retail Rates'!$B$7:$L$34,11,FALSE)</f>
        <v>0</v>
      </c>
      <c r="V84" s="27"/>
      <c r="W84" s="309"/>
      <c r="X84" s="28">
        <f t="shared" ref="X84:X85" si="352">(+H84*O84)+(I84*O84)</f>
        <v>0</v>
      </c>
      <c r="Y84" s="28">
        <f>J84*P84</f>
        <v>0</v>
      </c>
      <c r="Z84" s="28">
        <f>H84*Q84</f>
        <v>40150</v>
      </c>
      <c r="AA84" s="28">
        <f t="shared" ref="AA84:AA89" si="353">+K84*R84</f>
        <v>293481.77197274525</v>
      </c>
      <c r="AB84" s="28">
        <f>+L84*S84</f>
        <v>0</v>
      </c>
      <c r="AC84" s="28">
        <f>M84*T84</f>
        <v>5175</v>
      </c>
      <c r="AD84" s="28">
        <f>H84*V84</f>
        <v>0</v>
      </c>
      <c r="AE84" s="28"/>
      <c r="AF84" s="28">
        <f t="shared" ref="AF84:AF88" si="354">N84*U84</f>
        <v>0</v>
      </c>
      <c r="AG84" s="28"/>
      <c r="AH84" s="48">
        <f ca="1">SUMIFS(Adjustments!H$5:H$557,Adjustments!$B$5:$B$557,'Jul17-Jun18 Retail'!$D84,Adjustments!$C$5:$C$557,'Jul17-Jun18 Retail'!$E84)</f>
        <v>0</v>
      </c>
      <c r="AI84" s="48">
        <f ca="1">SUMIFS(Adjustments!I$5:I$557,Adjustments!$B$5:$B$557,'Jul17-Jun18 Retail'!$D84,Adjustments!$C$5:$C$557,'Jul17-Jun18 Retail'!$E84)</f>
        <v>0</v>
      </c>
      <c r="AJ84" s="40">
        <f ca="1">SUMIFS(Adjustments!J$5:J$557,Adjustments!$B$5:$B$557,'Jul17-Jun18 Retail'!$D84,Adjustments!$C$5:$C$557,'Jul17-Jun18 Retail'!$E84)</f>
        <v>0</v>
      </c>
      <c r="AK84" s="40">
        <f ca="1">SUMIFS(Adjustments!K$5:K$557,Adjustments!$B$5:$B$557,'Jul17-Jun18 Retail'!$D84,Adjustments!$C$5:$C$557,'Jul17-Jun18 Retail'!$E84)</f>
        <v>0</v>
      </c>
      <c r="AL84" s="40">
        <f ca="1">SUMIFS(Adjustments!L$5:L$557,Adjustments!$B$5:$B$557,'Jul17-Jun18 Retail'!$D84,Adjustments!$C$5:$C$557,'Jul17-Jun18 Retail'!$E84)</f>
        <v>0</v>
      </c>
      <c r="AM84" s="40">
        <f ca="1">SUMIFS(Adjustments!M$5:M$557,Adjustments!$B$5:$B$557,'Jul17-Jun18 Retail'!$D84,Adjustments!$C$5:$C$557,'Jul17-Jun18 Retail'!$E84)</f>
        <v>0</v>
      </c>
      <c r="AN84" s="40">
        <f ca="1">SUMIFS(Adjustments!N$5:N$557,Adjustments!$B$5:$B$557,'Jul17-Jun18 Retail'!$D84,Adjustments!$C$5:$C$557,'Jul17-Jun18 Retail'!$E84)</f>
        <v>0</v>
      </c>
      <c r="AO84" s="40">
        <f ca="1">SUMIFS(Adjustments!O$5:O$557,Adjustments!$B$5:$B$557,'Jul17-Jun18 Retail'!$D84,Adjustments!$C$5:$C$557,'Jul17-Jun18 Retail'!$E84)</f>
        <v>0</v>
      </c>
      <c r="AP84" s="40">
        <f ca="1">SUMIFS(Adjustments!P$5:P$557,Adjustments!$B$5:$B$557,'Jul17-Jun18 Retail'!$D84,Adjustments!$C$5:$C$557,'Jul17-Jun18 Retail'!$E84)</f>
        <v>0</v>
      </c>
      <c r="AQ84" s="28">
        <f t="shared" ref="AQ84:AQ89" ca="1" si="355">+X84+AJ84+(AH84*O84)</f>
        <v>0</v>
      </c>
      <c r="AR84" s="28">
        <f ca="1">+Y84+AK84</f>
        <v>0</v>
      </c>
      <c r="AS84" s="28">
        <f t="shared" ref="AS84:AS89" ca="1" si="356">+AA84+AL84</f>
        <v>293481.77197274525</v>
      </c>
      <c r="AT84" s="28">
        <f t="shared" ref="AT84:AT89" ca="1" si="357">+AB84+AM84</f>
        <v>0</v>
      </c>
      <c r="AU84" s="28">
        <f>Z84</f>
        <v>40150</v>
      </c>
      <c r="AV84" s="28">
        <f>AC84</f>
        <v>5175</v>
      </c>
      <c r="AW84" s="35">
        <f>BG84</f>
        <v>0</v>
      </c>
      <c r="AX84" s="35">
        <f>BF84</f>
        <v>227085.57409597369</v>
      </c>
      <c r="AY84" s="35">
        <f>BH84</f>
        <v>0</v>
      </c>
      <c r="AZ84" s="35">
        <f t="shared" ref="AZ84:AZ89" si="358">BN84</f>
        <v>0</v>
      </c>
      <c r="BA84" s="28">
        <f t="shared" ref="BA84:BA89" ca="1" si="359">+AF84+AP84</f>
        <v>0</v>
      </c>
      <c r="BB84" s="28"/>
      <c r="BC84" s="35">
        <f t="shared" ref="BC84:BC85" ca="1" si="360">ROUND(SUM(AQ84:BB84),2)</f>
        <v>565892.35</v>
      </c>
      <c r="BD84" s="35">
        <f>SUM(BF84:BN84)</f>
        <v>565892.34607483097</v>
      </c>
      <c r="BE84" s="36">
        <f t="shared" ref="BE84:BE89" ca="1" si="361">IF(BD84=0,0,ROUND(BD84/BC84,6))</f>
        <v>1</v>
      </c>
      <c r="BF84" s="35">
        <f>SUMIFS('Fin Forecast'!$V$3:$V$600,'Fin Forecast'!$B$3:$B$600,'Jul17-Jun18 Transport'!$E84,'Fin Forecast'!$C$3:$C$600,'Jul17-Jun18 Transport'!$BF$5)*1000</f>
        <v>227085.57409597369</v>
      </c>
      <c r="BG84" s="35">
        <f>SUMIFS('Fin Forecast'!$V$3:$V$600,'Fin Forecast'!$B$3:$B$600,'Jul17-Jun18 Transport'!$E84,'Fin Forecast'!$C$3:$C$600,'Jul17-Jun18 Transport'!$BG$5)*1000</f>
        <v>0</v>
      </c>
      <c r="BH84" s="35"/>
      <c r="BI84" s="35">
        <f>SUMIFS('Fin Forecast'!$V$3:$V$600,'Fin Forecast'!$B$3:$B$600,'Jul17-Jun18 Transport'!$E84,'Fin Forecast'!$C$3:$C$600,'Jul17-Jun18 Transport'!$BI$5)*1000</f>
        <v>5175</v>
      </c>
      <c r="BJ84" s="35">
        <f>SUMIFS('Fin Forecast'!$V$3:$V$600,'Fin Forecast'!$B$3:$B$600,'Jul17-Jun18 Transport'!$E84,'Fin Forecast'!$C$3:$C$600,'Jul17-Jun18 Transport'!$BJ$5)*1000</f>
        <v>40150</v>
      </c>
      <c r="BK84" s="35">
        <f>SUMIFS('Fin Forecast'!$V$3:$V$600,'Fin Forecast'!$B$3:$B$600,'Jul17-Jun18 Transport'!$E84,'Fin Forecast'!$C$3:$C$600,'Jul17-Jun18 Transport'!$BK$5)*1000</f>
        <v>0</v>
      </c>
      <c r="BL84" s="35">
        <f>SUMIFS('Fin Forecast'!$V$3:$V$600,'Fin Forecast'!$B$3:$B$600,'Jul17-Jun18 Transport'!$E84,'Fin Forecast'!$C$3:$C$600,'Jul17-Jun18 Transport'!$BL$5)*1000</f>
        <v>293481.77197885734</v>
      </c>
      <c r="BM84" s="35">
        <f>SUMIFS('Fin Forecast'!$V$3:$V$600,'Fin Forecast'!$B$3:$B$600,'Jul17-Jun18 Transport'!$E84,'Fin Forecast'!$C$3:$C$600,'Jul17-Jun18 Transport'!$BM$5)*1000</f>
        <v>0</v>
      </c>
      <c r="BN84" s="35">
        <f>SUMIFS('Fin Forecast'!$V$3:$V$600,'Fin Forecast'!$B$3:$B$600,'Jul17-Jun18 Transport'!$E84,'Fin Forecast'!$C$3:$C$600,'Jul17-Jun18 Transport'!$BN$5)*1000</f>
        <v>0</v>
      </c>
      <c r="BP84" s="44">
        <f t="shared" ref="BP84:BP89" ca="1" si="362">+BC84-BD84</f>
        <v>3.9251690031960607E-3</v>
      </c>
      <c r="BR84" s="49">
        <f t="shared" ref="BR84:BR89" ca="1" si="363">+AQ84+AR84-BK84</f>
        <v>0</v>
      </c>
      <c r="BS84" s="49">
        <f t="shared" ref="BS84:BS89" ca="1" si="364">+AS84+AT84-BL84</f>
        <v>-6.1120954342186451E-6</v>
      </c>
      <c r="BT84" s="49">
        <f t="shared" ref="BT84:BT89" si="365">+AW84-BG84</f>
        <v>0</v>
      </c>
    </row>
    <row r="85" spans="1:72" ht="15" x14ac:dyDescent="0.25">
      <c r="C85" s="6">
        <f>C84+1</f>
        <v>68</v>
      </c>
      <c r="D85" s="361">
        <f>$D$84</f>
        <v>43252</v>
      </c>
      <c r="E85" s="361" t="s">
        <v>43</v>
      </c>
      <c r="F85" s="6" t="str">
        <f t="shared" ref="F85:F89" si="366">MID(E85,6,3)</f>
        <v>896</v>
      </c>
      <c r="G85" s="6" t="str">
        <f>VLOOKUP(E85,'Retail Rates'!$B$7:$D$34,3,FALSE)</f>
        <v>FT-I</v>
      </c>
      <c r="H85" s="25">
        <f>SUMIF('Forcasted Customer Cts'!$D$5:$D$36,'Jul17-Jun18 Transport'!$E85,'Forcasted Customer Cts'!$AA$5:$AA$36)</f>
        <v>0</v>
      </c>
      <c r="I85" s="25"/>
      <c r="J85" s="25"/>
      <c r="K85" s="25">
        <f>SUMIF('Forecasted Calendar Month Usage'!$D$5:$D$41,'Jul17-Jun18 Transport'!$E85,'Forecasted Calendar Month Usage'!$AI$5:$AI$41)*10</f>
        <v>0</v>
      </c>
      <c r="L85" s="25"/>
      <c r="M85" s="25"/>
      <c r="N85" s="25"/>
      <c r="O85" s="26">
        <f>VLOOKUP($E85,'Retail Rates'!$B$7:$L$34,5,FALSE)</f>
        <v>0</v>
      </c>
      <c r="P85" s="26">
        <f>VLOOKUP($E85,'Retail Rates'!$B$7:$L$34,6,FALSE)</f>
        <v>0</v>
      </c>
      <c r="Q85" s="26">
        <f>VLOOKUP($E85,'Retail Rates'!$B$7:$L$34,9,FALSE)</f>
        <v>550</v>
      </c>
      <c r="R85" s="27">
        <f>VLOOKUP($E85,'Retail Rates'!$B$7:$L$34,7,FALSE)</f>
        <v>4.3020000000000003E-2</v>
      </c>
      <c r="S85" s="27">
        <f>VLOOKUP($E85,'Retail Rates'!$B$7:$L$34,8,FALSE)</f>
        <v>0</v>
      </c>
      <c r="T85" s="309">
        <v>75</v>
      </c>
      <c r="U85" s="26">
        <f>VLOOKUP($E85,'Retail Rates'!$B$7:$L$34,11,FALSE)</f>
        <v>0</v>
      </c>
      <c r="V85" s="27"/>
      <c r="W85" s="309"/>
      <c r="X85" s="28">
        <f t="shared" si="352"/>
        <v>0</v>
      </c>
      <c r="Y85" s="28">
        <f t="shared" ref="Y85:Y89" si="367">J85*P85</f>
        <v>0</v>
      </c>
      <c r="Z85" s="28">
        <f>H85*Q85</f>
        <v>0</v>
      </c>
      <c r="AA85" s="28">
        <f t="shared" si="353"/>
        <v>0</v>
      </c>
      <c r="AB85" s="28">
        <f t="shared" ref="AB85:AB89" si="368">+L85*S85</f>
        <v>0</v>
      </c>
      <c r="AC85" s="28">
        <f t="shared" ref="AC85:AC89" si="369">M85*T85</f>
        <v>0</v>
      </c>
      <c r="AD85" s="28">
        <f t="shared" ref="AD85" si="370">H85*V85</f>
        <v>0</v>
      </c>
      <c r="AE85" s="28"/>
      <c r="AF85" s="28">
        <f t="shared" si="354"/>
        <v>0</v>
      </c>
      <c r="AG85" s="28"/>
      <c r="AH85" s="48">
        <f ca="1">SUMIFS(Adjustments!H$5:H$557,Adjustments!$B$5:$B$557,'Jul17-Jun18 Retail'!$D85,Adjustments!$C$5:$C$557,'Jul17-Jun18 Retail'!$E85)</f>
        <v>0</v>
      </c>
      <c r="AI85" s="48">
        <f ca="1">SUMIFS(Adjustments!I$5:I$557,Adjustments!$B$5:$B$557,'Jul17-Jun18 Retail'!$D85,Adjustments!$C$5:$C$557,'Jul17-Jun18 Retail'!$E85)</f>
        <v>0</v>
      </c>
      <c r="AJ85" s="40">
        <f ca="1">SUMIFS(Adjustments!J$5:J$557,Adjustments!$B$5:$B$557,'Jul17-Jun18 Retail'!$D85,Adjustments!$C$5:$C$557,'Jul17-Jun18 Retail'!$E85)</f>
        <v>0</v>
      </c>
      <c r="AK85" s="40">
        <f ca="1">SUMIFS(Adjustments!K$5:K$557,Adjustments!$B$5:$B$557,'Jul17-Jun18 Retail'!$D85,Adjustments!$C$5:$C$557,'Jul17-Jun18 Retail'!$E85)</f>
        <v>0</v>
      </c>
      <c r="AL85" s="40">
        <f ca="1">SUMIFS(Adjustments!L$5:L$557,Adjustments!$B$5:$B$557,'Jul17-Jun18 Retail'!$D85,Adjustments!$C$5:$C$557,'Jul17-Jun18 Retail'!$E85)</f>
        <v>0</v>
      </c>
      <c r="AM85" s="40">
        <f ca="1">SUMIFS(Adjustments!M$5:M$557,Adjustments!$B$5:$B$557,'Jul17-Jun18 Retail'!$D85,Adjustments!$C$5:$C$557,'Jul17-Jun18 Retail'!$E85)</f>
        <v>0</v>
      </c>
      <c r="AN85" s="40">
        <f ca="1">SUMIFS(Adjustments!N$5:N$557,Adjustments!$B$5:$B$557,'Jul17-Jun18 Retail'!$D85,Adjustments!$C$5:$C$557,'Jul17-Jun18 Retail'!$E85)</f>
        <v>0</v>
      </c>
      <c r="AO85" s="40">
        <f ca="1">SUMIFS(Adjustments!O$5:O$557,Adjustments!$B$5:$B$557,'Jul17-Jun18 Retail'!$D85,Adjustments!$C$5:$C$557,'Jul17-Jun18 Retail'!$E85)</f>
        <v>0</v>
      </c>
      <c r="AP85" s="40">
        <f ca="1">SUMIFS(Adjustments!P$5:P$557,Adjustments!$B$5:$B$557,'Jul17-Jun18 Retail'!$D85,Adjustments!$C$5:$C$557,'Jul17-Jun18 Retail'!$E85)</f>
        <v>0</v>
      </c>
      <c r="AQ85" s="28">
        <f t="shared" ca="1" si="355"/>
        <v>0</v>
      </c>
      <c r="AR85" s="28">
        <f t="shared" ref="AR85:AR89" ca="1" si="371">+Y85+AK85</f>
        <v>0</v>
      </c>
      <c r="AS85" s="28">
        <f t="shared" ca="1" si="356"/>
        <v>0</v>
      </c>
      <c r="AT85" s="28">
        <f t="shared" ca="1" si="357"/>
        <v>0</v>
      </c>
      <c r="AU85" s="28">
        <f t="shared" ref="AU85:AU89" si="372">Z85</f>
        <v>0</v>
      </c>
      <c r="AV85" s="28">
        <f t="shared" ref="AV85:AV89" si="373">AC85</f>
        <v>0</v>
      </c>
      <c r="AW85" s="35">
        <f t="shared" ref="AW85:AW89" si="374">BG85</f>
        <v>0</v>
      </c>
      <c r="AX85" s="35">
        <f t="shared" ref="AX85:AX89" si="375">BF85</f>
        <v>0</v>
      </c>
      <c r="AY85" s="35">
        <f t="shared" ref="AY85:AY89" si="376">BH85</f>
        <v>0</v>
      </c>
      <c r="AZ85" s="35">
        <f t="shared" si="358"/>
        <v>0</v>
      </c>
      <c r="BA85" s="28">
        <f t="shared" ca="1" si="359"/>
        <v>0</v>
      </c>
      <c r="BB85" s="28"/>
      <c r="BC85" s="35">
        <f t="shared" ca="1" si="360"/>
        <v>0</v>
      </c>
      <c r="BD85" s="35">
        <f t="shared" ref="BD85:BD89" si="377">SUM(BF85:BN85)</f>
        <v>0</v>
      </c>
      <c r="BE85" s="36">
        <f t="shared" si="361"/>
        <v>0</v>
      </c>
      <c r="BF85" s="35">
        <f>SUMIFS('Fin Forecast'!$V$3:$V$600,'Fin Forecast'!$B$3:$B$600,'Jul17-Jun18 Transport'!$E85,'Fin Forecast'!$C$3:$C$600,'Jul17-Jun18 Transport'!$BF$5)*1000</f>
        <v>0</v>
      </c>
      <c r="BG85" s="35">
        <f>SUMIFS('Fin Forecast'!$V$3:$V$600,'Fin Forecast'!$B$3:$B$600,'Jul17-Jun18 Transport'!$E85,'Fin Forecast'!$C$3:$C$600,'Jul17-Jun18 Transport'!$BG$5)*1000</f>
        <v>0</v>
      </c>
      <c r="BH85" s="35"/>
      <c r="BI85" s="35">
        <f>SUMIFS('Fin Forecast'!$V$3:$V$600,'Fin Forecast'!$B$3:$B$600,'Jul17-Jun18 Transport'!$E85,'Fin Forecast'!$C$3:$C$600,'Jul17-Jun18 Transport'!$BI$5)*1000</f>
        <v>0</v>
      </c>
      <c r="BJ85" s="35">
        <f>SUMIFS('Fin Forecast'!$V$3:$V$600,'Fin Forecast'!$B$3:$B$600,'Jul17-Jun18 Transport'!$E85,'Fin Forecast'!$C$3:$C$600,'Jul17-Jun18 Transport'!$BJ$5)*1000</f>
        <v>0</v>
      </c>
      <c r="BK85" s="35">
        <f>SUMIFS('Fin Forecast'!$V$3:$V$600,'Fin Forecast'!$B$3:$B$600,'Jul17-Jun18 Transport'!$E85,'Fin Forecast'!$C$3:$C$600,'Jul17-Jun18 Transport'!$BK$5)*1000</f>
        <v>0</v>
      </c>
      <c r="BL85" s="35">
        <f>SUMIFS('Fin Forecast'!$V$3:$V$600,'Fin Forecast'!$B$3:$B$600,'Jul17-Jun18 Transport'!$E85,'Fin Forecast'!$C$3:$C$600,'Jul17-Jun18 Transport'!$BL$5)*1000</f>
        <v>0</v>
      </c>
      <c r="BM85" s="35">
        <f>SUMIFS('Fin Forecast'!$V$3:$V$600,'Fin Forecast'!$B$3:$B$600,'Jul17-Jun18 Transport'!$E85,'Fin Forecast'!$C$3:$C$600,'Jul17-Jun18 Transport'!$BM$5)*1000</f>
        <v>0</v>
      </c>
      <c r="BN85" s="35">
        <f>SUMIFS('Fin Forecast'!$V$3:$V$600,'Fin Forecast'!$B$3:$B$600,'Jul17-Jun18 Transport'!$E85,'Fin Forecast'!$C$3:$C$600,'Jul17-Jun18 Transport'!$BN$5)*1000</f>
        <v>0</v>
      </c>
      <c r="BP85" s="44">
        <f t="shared" ca="1" si="362"/>
        <v>0</v>
      </c>
      <c r="BR85" s="49">
        <f t="shared" ca="1" si="363"/>
        <v>0</v>
      </c>
      <c r="BS85" s="49">
        <f t="shared" ca="1" si="364"/>
        <v>0</v>
      </c>
      <c r="BT85" s="49">
        <f t="shared" si="365"/>
        <v>0</v>
      </c>
    </row>
    <row r="86" spans="1:72" ht="15" x14ac:dyDescent="0.25">
      <c r="A86" s="304"/>
      <c r="B86" s="13" t="s">
        <v>444</v>
      </c>
      <c r="C86" s="6">
        <f t="shared" ref="C86:C89" si="378">C85+1</f>
        <v>69</v>
      </c>
      <c r="D86" s="361">
        <f t="shared" ref="D86:D89" si="379">$D$84</f>
        <v>43252</v>
      </c>
      <c r="E86" s="361" t="s">
        <v>31</v>
      </c>
      <c r="F86" s="6" t="str">
        <f t="shared" si="366"/>
        <v>882</v>
      </c>
      <c r="G86" s="6" t="str">
        <f>VLOOKUP(E86,'Retail Rates'!$B$7:$D$34,3,FALSE)</f>
        <v>IGS-TS-2</v>
      </c>
      <c r="H86" s="25"/>
      <c r="I86" s="25"/>
      <c r="J86" s="25">
        <f>SUMIFS('Forcasted Customer Cts'!$AA$5:$AA$36,'Forcasted Customer Cts'!$D$5:$D$36,$E86,'Forcasted Customer Cts'!$C$5:$C$36,$B86)</f>
        <v>5</v>
      </c>
      <c r="K86" s="25">
        <v>5000</v>
      </c>
      <c r="L86" s="610">
        <f>(SUMIF('Forecasted Calendar Month Usage'!$D$5:$D$41,'Jul17-Jun18 Transport'!$E86,'Forecasted Calendar Month Usage'!$AI$5:$AI$41)*10)-K86</f>
        <v>338767.68485689408</v>
      </c>
      <c r="M86" s="25">
        <v>2</v>
      </c>
      <c r="N86" s="25"/>
      <c r="O86" s="26">
        <f>VLOOKUP($E86,'Retail Rates'!$B$7:$L$34,5,FALSE)</f>
        <v>40</v>
      </c>
      <c r="P86" s="26">
        <f>VLOOKUP($E86,'Retail Rates'!$B$7:$L$34,6,FALSE)</f>
        <v>180</v>
      </c>
      <c r="Q86" s="26">
        <f>VLOOKUP($E86,'Retail Rates'!$B$7:$L$34,9,FALSE)</f>
        <v>550</v>
      </c>
      <c r="R86" s="27">
        <f>VLOOKUP($E86,'Retail Rates'!$B$7:$L$34,7,FALSE)</f>
        <v>0.22778999999999999</v>
      </c>
      <c r="S86" s="27">
        <f>VLOOKUP($E86,'Retail Rates'!$B$7:$L$34,8,FALSE)</f>
        <v>0.17779</v>
      </c>
      <c r="T86" s="309">
        <v>75</v>
      </c>
      <c r="U86" s="26">
        <f>VLOOKUP($E86,'Retail Rates'!$B$7:$L$34,11,FALSE)</f>
        <v>0</v>
      </c>
      <c r="V86" s="309"/>
      <c r="W86" s="309"/>
      <c r="X86" s="28">
        <f>(+H86*O86)+(I86*O86)</f>
        <v>0</v>
      </c>
      <c r="Y86" s="28">
        <f t="shared" si="367"/>
        <v>900</v>
      </c>
      <c r="Z86" s="28">
        <f>(I86+J86)*Q86</f>
        <v>2750</v>
      </c>
      <c r="AA86" s="28">
        <f t="shared" si="353"/>
        <v>1138.95</v>
      </c>
      <c r="AB86" s="28">
        <f t="shared" si="368"/>
        <v>60229.506690707196</v>
      </c>
      <c r="AC86" s="28">
        <f t="shared" si="369"/>
        <v>150</v>
      </c>
      <c r="AD86" s="28">
        <f>(I86+J86)*V86</f>
        <v>0</v>
      </c>
      <c r="AE86" s="28"/>
      <c r="AF86" s="28">
        <f t="shared" si="354"/>
        <v>0</v>
      </c>
      <c r="AG86" s="28"/>
      <c r="AH86" s="48">
        <f ca="1">SUMIFS(Adjustments!H$5:H$557,Adjustments!$B$5:$B$557,'Jul17-Jun18 Retail'!#REF!,Adjustments!$C$5:$C$557,'Jul17-Jun18 Retail'!#REF!)</f>
        <v>0</v>
      </c>
      <c r="AI86" s="48">
        <f ca="1">SUMIFS(Adjustments!I$5:I$557,Adjustments!$B$5:$B$557,'Jul17-Jun18 Retail'!#REF!,Adjustments!$C$5:$C$557,'Jul17-Jun18 Retail'!#REF!)</f>
        <v>0</v>
      </c>
      <c r="AJ86" s="40">
        <f ca="1">SUMIFS(Adjustments!J$5:J$557,Adjustments!$B$5:$B$557,'Jul17-Jun18 Retail'!#REF!,Adjustments!$C$5:$C$557,'Jul17-Jun18 Retail'!#REF!)</f>
        <v>0</v>
      </c>
      <c r="AK86" s="40">
        <f ca="1">SUMIFS(Adjustments!K$5:K$557,Adjustments!$B$5:$B$557,'Jul17-Jun18 Retail'!#REF!,Adjustments!$C$5:$C$557,'Jul17-Jun18 Retail'!#REF!)</f>
        <v>0</v>
      </c>
      <c r="AL86" s="40">
        <f ca="1">SUMIFS(Adjustments!L$5:L$557,Adjustments!$B$5:$B$557,'Jul17-Jun18 Retail'!#REF!,Adjustments!$C$5:$C$557,'Jul17-Jun18 Retail'!#REF!)</f>
        <v>0</v>
      </c>
      <c r="AM86" s="40">
        <f ca="1">SUMIFS(Adjustments!M$5:M$557,Adjustments!$B$5:$B$557,'Jul17-Jun18 Retail'!#REF!,Adjustments!$C$5:$C$557,'Jul17-Jun18 Retail'!#REF!)</f>
        <v>0</v>
      </c>
      <c r="AN86" s="40">
        <f ca="1">SUMIFS(Adjustments!N$5:N$557,Adjustments!$B$5:$B$557,'Jul17-Jun18 Retail'!#REF!,Adjustments!$C$5:$C$557,'Jul17-Jun18 Retail'!#REF!)</f>
        <v>0</v>
      </c>
      <c r="AO86" s="40">
        <f ca="1">SUMIFS(Adjustments!O$5:O$557,Adjustments!$B$5:$B$557,'Jul17-Jun18 Retail'!#REF!,Adjustments!$C$5:$C$557,'Jul17-Jun18 Retail'!#REF!)</f>
        <v>0</v>
      </c>
      <c r="AP86" s="40">
        <f ca="1">SUMIFS(Adjustments!P$5:P$557,Adjustments!$B$5:$B$557,'Jul17-Jun18 Retail'!#REF!,Adjustments!$C$5:$C$557,'Jul17-Jun18 Retail'!#REF!)</f>
        <v>0</v>
      </c>
      <c r="AQ86" s="28">
        <f t="shared" ca="1" si="355"/>
        <v>0</v>
      </c>
      <c r="AR86" s="28">
        <f t="shared" ca="1" si="371"/>
        <v>900</v>
      </c>
      <c r="AS86" s="28">
        <f t="shared" ca="1" si="356"/>
        <v>1138.95</v>
      </c>
      <c r="AT86" s="28">
        <f t="shared" ca="1" si="357"/>
        <v>60229.506690707196</v>
      </c>
      <c r="AU86" s="28">
        <f t="shared" si="372"/>
        <v>2750</v>
      </c>
      <c r="AV86" s="28">
        <f t="shared" si="373"/>
        <v>150</v>
      </c>
      <c r="AW86" s="35">
        <f t="shared" si="374"/>
        <v>0</v>
      </c>
      <c r="AX86" s="35">
        <f t="shared" si="375"/>
        <v>0</v>
      </c>
      <c r="AY86" s="35">
        <f t="shared" si="376"/>
        <v>0</v>
      </c>
      <c r="AZ86" s="35">
        <f t="shared" si="358"/>
        <v>9731.2824753447694</v>
      </c>
      <c r="BA86" s="28">
        <f t="shared" ca="1" si="359"/>
        <v>0</v>
      </c>
      <c r="BB86" s="28"/>
      <c r="BC86" s="35">
        <f ca="1">ROUND(SUM(AQ86:BB86),2)</f>
        <v>74899.740000000005</v>
      </c>
      <c r="BD86" s="35">
        <f t="shared" si="377"/>
        <v>74899.73917371576</v>
      </c>
      <c r="BE86" s="36">
        <f t="shared" ca="1" si="361"/>
        <v>1</v>
      </c>
      <c r="BF86" s="35">
        <f>SUMIFS('Fin Forecast'!$V$3:$V$600,'Fin Forecast'!$B$3:$B$600,'Jul17-Jun18 Transport'!$E86,'Fin Forecast'!$C$3:$C$600,'Jul17-Jun18 Transport'!$BF$5)*1000</f>
        <v>0</v>
      </c>
      <c r="BG86" s="35">
        <f>SUMIFS('Fin Forecast'!$V$3:$V$600,'Fin Forecast'!$B$3:$B$600,'Jul17-Jun18 Transport'!$E86,'Fin Forecast'!$C$3:$C$600,'Jul17-Jun18 Transport'!$BG$5)*1000</f>
        <v>0</v>
      </c>
      <c r="BH86" s="35"/>
      <c r="BI86" s="35">
        <f>SUMIFS('Fin Forecast'!$V$3:$V$600,'Fin Forecast'!$B$3:$B$600,'Jul17-Jun18 Transport'!$E86,'Fin Forecast'!$C$3:$C$600,'Jul17-Jun18 Transport'!$BI$5)*1000</f>
        <v>150</v>
      </c>
      <c r="BJ86" s="35">
        <f>SUMIFS('Fin Forecast'!$V$3:$V$600,'Fin Forecast'!$B$3:$B$600,'Jul17-Jun18 Transport'!$E86,'Fin Forecast'!$C$3:$C$600,'Jul17-Jun18 Transport'!$BJ$5)*1000</f>
        <v>2750</v>
      </c>
      <c r="BK86" s="35">
        <f>SUMIFS('Fin Forecast'!$V$3:$V$600,'Fin Forecast'!$B$3:$B$600,'Jul17-Jun18 Transport'!$E86,'Fin Forecast'!$C$3:$C$600,'Jul17-Jun18 Transport'!$BK$5)*1000</f>
        <v>900</v>
      </c>
      <c r="BL86" s="35">
        <f>SUMIFS('Fin Forecast'!$V$3:$V$600,'Fin Forecast'!$B$3:$B$600,'Jul17-Jun18 Transport'!$E86,'Fin Forecast'!$C$3:$C$600,'Jul17-Jun18 Transport'!$BL$5)*1000</f>
        <v>61368.456698370996</v>
      </c>
      <c r="BM86" s="35">
        <f>SUMIFS('Fin Forecast'!$V$3:$V$600,'Fin Forecast'!$B$3:$B$600,'Jul17-Jun18 Transport'!$E86,'Fin Forecast'!$C$3:$C$600,'Jul17-Jun18 Transport'!$BM$5)*1000</f>
        <v>0</v>
      </c>
      <c r="BN86" s="35">
        <f>SUMIFS('Fin Forecast'!$V$3:$V$600,'Fin Forecast'!$B$3:$B$600,'Jul17-Jun18 Transport'!$E86,'Fin Forecast'!$C$3:$C$600,'Jul17-Jun18 Transport'!$BN$5)*1000</f>
        <v>9731.2824753447694</v>
      </c>
      <c r="BP86" s="44">
        <f t="shared" ca="1" si="362"/>
        <v>8.262842457043007E-4</v>
      </c>
      <c r="BR86" s="49">
        <f t="shared" ca="1" si="363"/>
        <v>0</v>
      </c>
      <c r="BS86" s="49">
        <f t="shared" ca="1" si="364"/>
        <v>-7.6638025348074734E-6</v>
      </c>
      <c r="BT86" s="49">
        <f t="shared" si="365"/>
        <v>0</v>
      </c>
    </row>
    <row r="87" spans="1:72" ht="15" x14ac:dyDescent="0.25">
      <c r="C87" s="6">
        <f t="shared" si="378"/>
        <v>70</v>
      </c>
      <c r="D87" s="361">
        <f t="shared" si="379"/>
        <v>43252</v>
      </c>
      <c r="E87" s="361" t="s">
        <v>87</v>
      </c>
      <c r="F87" s="6" t="str">
        <f t="shared" si="366"/>
        <v>892</v>
      </c>
      <c r="G87" s="6" t="str">
        <f>VLOOKUP(E87,'Retail Rates'!$B$7:$D$34,3,FALSE)</f>
        <v>AAGS-I-TS-2</v>
      </c>
      <c r="H87" s="25">
        <f>SUMIF('Forcasted Customer Cts'!$D$5:$D$36,'Jul17-Jun18 Transport'!$E87,'Forcasted Customer Cts'!$AA$5:$AA$36)</f>
        <v>2</v>
      </c>
      <c r="I87" s="25"/>
      <c r="J87" s="25"/>
      <c r="K87" s="25">
        <f>SUMIF('Forecasted Calendar Month Usage'!$D$5:$D$41,'Jul17-Jun18 Transport'!$E87,'Forecasted Calendar Month Usage'!$AI$5:$AI$41)*10</f>
        <v>96223.718545388576</v>
      </c>
      <c r="L87" s="25"/>
      <c r="M87" s="25"/>
      <c r="N87" s="25"/>
      <c r="O87" s="26">
        <f>VLOOKUP($E87,'Retail Rates'!$B$7:$L$34,5,FALSE)</f>
        <v>400</v>
      </c>
      <c r="P87" s="26">
        <f>VLOOKUP($E87,'Retail Rates'!$B$7:$L$34,6,FALSE)</f>
        <v>0</v>
      </c>
      <c r="Q87" s="26">
        <f>VLOOKUP($E87,'Retail Rates'!$B$7:$L$34,9,FALSE)</f>
        <v>550</v>
      </c>
      <c r="R87" s="27">
        <f>VLOOKUP($E87,'Retail Rates'!$B$7:$L$34,7,FALSE)</f>
        <v>7.009E-2</v>
      </c>
      <c r="S87" s="27">
        <f>VLOOKUP($E87,'Retail Rates'!$B$7:$L$34,8,FALSE)</f>
        <v>0</v>
      </c>
      <c r="T87" s="309">
        <v>75</v>
      </c>
      <c r="U87" s="26">
        <f>VLOOKUP($E87,'Retail Rates'!$B$7:$L$34,11,FALSE)</f>
        <v>0</v>
      </c>
      <c r="V87" s="309"/>
      <c r="W87" s="309"/>
      <c r="X87" s="28">
        <f t="shared" ref="X87:X89" si="380">(+H87*O87)+(I87*O87)</f>
        <v>800</v>
      </c>
      <c r="Y87" s="28">
        <f t="shared" si="367"/>
        <v>0</v>
      </c>
      <c r="Z87" s="28">
        <f t="shared" ref="Z87:Z89" si="381">H87*Q87</f>
        <v>1100</v>
      </c>
      <c r="AA87" s="28">
        <f t="shared" si="353"/>
        <v>6744.3204328462853</v>
      </c>
      <c r="AB87" s="28">
        <f t="shared" si="368"/>
        <v>0</v>
      </c>
      <c r="AC87" s="28">
        <f t="shared" si="369"/>
        <v>0</v>
      </c>
      <c r="AD87" s="28">
        <f t="shared" ref="AD87:AD89" si="382">H87*V87</f>
        <v>0</v>
      </c>
      <c r="AE87" s="28"/>
      <c r="AF87" s="28">
        <f t="shared" si="354"/>
        <v>0</v>
      </c>
      <c r="AG87" s="28"/>
      <c r="AH87" s="48">
        <f ca="1">SUMIFS(Adjustments!H$5:H$557,Adjustments!$B$5:$B$557,'Jul17-Jun18 Retail'!$D86,Adjustments!$C$5:$C$557,'Jul17-Jun18 Retail'!$E86)</f>
        <v>0</v>
      </c>
      <c r="AI87" s="48">
        <f ca="1">SUMIFS(Adjustments!I$5:I$557,Adjustments!$B$5:$B$557,'Jul17-Jun18 Retail'!$D86,Adjustments!$C$5:$C$557,'Jul17-Jun18 Retail'!$E86)</f>
        <v>0</v>
      </c>
      <c r="AJ87" s="40">
        <f ca="1">SUMIFS(Adjustments!J$5:J$557,Adjustments!$B$5:$B$557,'Jul17-Jun18 Retail'!$D86,Adjustments!$C$5:$C$557,'Jul17-Jun18 Retail'!$E86)</f>
        <v>0</v>
      </c>
      <c r="AK87" s="40">
        <f ca="1">SUMIFS(Adjustments!K$5:K$557,Adjustments!$B$5:$B$557,'Jul17-Jun18 Retail'!$D86,Adjustments!$C$5:$C$557,'Jul17-Jun18 Retail'!$E86)</f>
        <v>0</v>
      </c>
      <c r="AL87" s="40">
        <f ca="1">SUMIFS(Adjustments!L$5:L$557,Adjustments!$B$5:$B$557,'Jul17-Jun18 Retail'!$D86,Adjustments!$C$5:$C$557,'Jul17-Jun18 Retail'!$E86)</f>
        <v>0</v>
      </c>
      <c r="AM87" s="40">
        <f ca="1">SUMIFS(Adjustments!M$5:M$557,Adjustments!$B$5:$B$557,'Jul17-Jun18 Retail'!$D86,Adjustments!$C$5:$C$557,'Jul17-Jun18 Retail'!$E86)</f>
        <v>0</v>
      </c>
      <c r="AN87" s="40">
        <f ca="1">SUMIFS(Adjustments!N$5:N$557,Adjustments!$B$5:$B$557,'Jul17-Jun18 Retail'!$D86,Adjustments!$C$5:$C$557,'Jul17-Jun18 Retail'!$E86)</f>
        <v>0</v>
      </c>
      <c r="AO87" s="40">
        <f ca="1">SUMIFS(Adjustments!O$5:O$557,Adjustments!$B$5:$B$557,'Jul17-Jun18 Retail'!$D86,Adjustments!$C$5:$C$557,'Jul17-Jun18 Retail'!$E86)</f>
        <v>0</v>
      </c>
      <c r="AP87" s="40">
        <f ca="1">SUMIFS(Adjustments!P$5:P$557,Adjustments!$B$5:$B$557,'Jul17-Jun18 Retail'!$D86,Adjustments!$C$5:$C$557,'Jul17-Jun18 Retail'!$E86)</f>
        <v>0</v>
      </c>
      <c r="AQ87" s="28">
        <f t="shared" ca="1" si="355"/>
        <v>800</v>
      </c>
      <c r="AR87" s="28">
        <f t="shared" ca="1" si="371"/>
        <v>0</v>
      </c>
      <c r="AS87" s="28">
        <f t="shared" ca="1" si="356"/>
        <v>6744.3204328462853</v>
      </c>
      <c r="AT87" s="28">
        <f t="shared" ca="1" si="357"/>
        <v>0</v>
      </c>
      <c r="AU87" s="28">
        <f t="shared" si="372"/>
        <v>1100</v>
      </c>
      <c r="AV87" s="28">
        <f t="shared" si="373"/>
        <v>0</v>
      </c>
      <c r="AW87" s="35">
        <f t="shared" si="374"/>
        <v>0</v>
      </c>
      <c r="AX87" s="35">
        <f t="shared" si="375"/>
        <v>0</v>
      </c>
      <c r="AY87" s="35">
        <f t="shared" si="376"/>
        <v>0</v>
      </c>
      <c r="AZ87" s="35">
        <f t="shared" si="358"/>
        <v>3437.75436562603</v>
      </c>
      <c r="BA87" s="28">
        <f t="shared" ca="1" si="359"/>
        <v>0</v>
      </c>
      <c r="BB87" s="28"/>
      <c r="BC87" s="35">
        <f t="shared" ref="BC87:BC89" ca="1" si="383">ROUND(SUM(AQ87:BB87),2)</f>
        <v>12082.07</v>
      </c>
      <c r="BD87" s="35">
        <f t="shared" si="377"/>
        <v>12082.074798472309</v>
      </c>
      <c r="BE87" s="36">
        <f t="shared" ca="1" si="361"/>
        <v>1</v>
      </c>
      <c r="BF87" s="35">
        <f>SUMIFS('Fin Forecast'!$V$3:$V$600,'Fin Forecast'!$B$3:$B$600,'Jul17-Jun18 Transport'!$E87,'Fin Forecast'!$C$3:$C$600,'Jul17-Jun18 Transport'!$BF$5)*1000</f>
        <v>0</v>
      </c>
      <c r="BG87" s="35">
        <f>SUMIFS('Fin Forecast'!$V$3:$V$600,'Fin Forecast'!$B$3:$B$600,'Jul17-Jun18 Transport'!$E87,'Fin Forecast'!$C$3:$C$600,'Jul17-Jun18 Transport'!$BG$5)*1000</f>
        <v>0</v>
      </c>
      <c r="BH87" s="35"/>
      <c r="BI87" s="35">
        <f>SUMIFS('Fin Forecast'!$V$3:$V$600,'Fin Forecast'!$B$3:$B$600,'Jul17-Jun18 Transport'!$E87,'Fin Forecast'!$C$3:$C$600,'Jul17-Jun18 Transport'!$BI$5)*1000</f>
        <v>0</v>
      </c>
      <c r="BJ87" s="35">
        <f>SUMIFS('Fin Forecast'!$V$3:$V$600,'Fin Forecast'!$B$3:$B$600,'Jul17-Jun18 Transport'!$E87,'Fin Forecast'!$C$3:$C$600,'Jul17-Jun18 Transport'!$BJ$5)*1000</f>
        <v>1100</v>
      </c>
      <c r="BK87" s="35">
        <f>SUMIFS('Fin Forecast'!$V$3:$V$600,'Fin Forecast'!$B$3:$B$600,'Jul17-Jun18 Transport'!$E87,'Fin Forecast'!$C$3:$C$600,'Jul17-Jun18 Transport'!$BK$5)*1000</f>
        <v>800</v>
      </c>
      <c r="BL87" s="35">
        <f>SUMIFS('Fin Forecast'!$V$3:$V$600,'Fin Forecast'!$B$3:$B$600,'Jul17-Jun18 Transport'!$E87,'Fin Forecast'!$C$3:$C$600,'Jul17-Jun18 Transport'!$BL$5)*1000</f>
        <v>6744.3204328462798</v>
      </c>
      <c r="BM87" s="35">
        <f>SUMIFS('Fin Forecast'!$V$3:$V$600,'Fin Forecast'!$B$3:$B$600,'Jul17-Jun18 Transport'!$E87,'Fin Forecast'!$C$3:$C$600,'Jul17-Jun18 Transport'!$BM$5)*1000</f>
        <v>0</v>
      </c>
      <c r="BN87" s="35">
        <f>SUMIFS('Fin Forecast'!$V$3:$V$600,'Fin Forecast'!$B$3:$B$600,'Jul17-Jun18 Transport'!$E87,'Fin Forecast'!$C$3:$C$600,'Jul17-Jun18 Transport'!$BN$5)*1000</f>
        <v>3437.75436562603</v>
      </c>
      <c r="BP87" s="44">
        <f t="shared" ca="1" si="362"/>
        <v>-4.798472309630597E-3</v>
      </c>
      <c r="BR87" s="49">
        <f t="shared" ca="1" si="363"/>
        <v>0</v>
      </c>
      <c r="BS87" s="49">
        <f t="shared" ca="1" si="364"/>
        <v>0</v>
      </c>
      <c r="BT87" s="49">
        <f t="shared" si="365"/>
        <v>0</v>
      </c>
    </row>
    <row r="88" spans="1:72" ht="15" x14ac:dyDescent="0.25">
      <c r="C88" s="6">
        <f t="shared" si="378"/>
        <v>71</v>
      </c>
      <c r="D88" s="361">
        <f t="shared" si="379"/>
        <v>43252</v>
      </c>
      <c r="E88" s="361" t="s">
        <v>51</v>
      </c>
      <c r="F88" s="6" t="str">
        <f t="shared" si="366"/>
        <v>997</v>
      </c>
      <c r="G88" s="6" t="str">
        <f>VLOOKUP(E88,'Retail Rates'!$B$7:$D$34,3,FALSE)</f>
        <v>SPC-P</v>
      </c>
      <c r="H88" s="25">
        <f>SUMIF('Forcasted Customer Cts'!$D$5:$D$36,'Jul17-Jun18 Transport'!$E88,'Forcasted Customer Cts'!$AA$5:$AA$36)</f>
        <v>0</v>
      </c>
      <c r="I88" s="25"/>
      <c r="J88" s="25"/>
      <c r="K88" s="25">
        <f>SUMIF('Forecasted Calendar Month Usage'!$D$5:$D$41,'Jul17-Jun18 Transport'!$E88,'Forecasted Calendar Month Usage'!$AI$5:$AI$41)</f>
        <v>0</v>
      </c>
      <c r="L88" s="25"/>
      <c r="M88" s="25"/>
      <c r="N88" s="25"/>
      <c r="O88" s="26">
        <f>VLOOKUP($E88,'Retail Rates'!$B$7:$L$34,5,FALSE)</f>
        <v>800</v>
      </c>
      <c r="P88" s="26">
        <f>VLOOKUP($E88,'Retail Rates'!$B$7:$L$34,6,FALSE)</f>
        <v>0</v>
      </c>
      <c r="Q88" s="26">
        <f>VLOOKUP($E88,'Retail Rates'!$B$7:$L$34,9,FALSE)</f>
        <v>0</v>
      </c>
      <c r="R88" s="27">
        <f>VLOOKUP($E88,'Retail Rates'!$B$7:$L$34,7,FALSE)</f>
        <v>4.9699999999999996E-3</v>
      </c>
      <c r="S88" s="27">
        <f>VLOOKUP($E88,'Retail Rates'!$B$7:$L$34,8,FALSE)</f>
        <v>0</v>
      </c>
      <c r="T88" s="309">
        <v>0</v>
      </c>
      <c r="U88" s="403">
        <f>VLOOKUP($E88,'Retail Rates'!$B$7:$L$34,11,FALSE)</f>
        <v>0.24801000000000001</v>
      </c>
      <c r="V88" s="27"/>
      <c r="W88" s="309"/>
      <c r="X88" s="28">
        <f t="shared" si="380"/>
        <v>0</v>
      </c>
      <c r="Y88" s="28">
        <f t="shared" si="367"/>
        <v>0</v>
      </c>
      <c r="Z88" s="28">
        <f t="shared" si="381"/>
        <v>0</v>
      </c>
      <c r="AA88" s="28">
        <f t="shared" si="353"/>
        <v>0</v>
      </c>
      <c r="AB88" s="28">
        <f t="shared" si="368"/>
        <v>0</v>
      </c>
      <c r="AC88" s="28">
        <f t="shared" si="369"/>
        <v>0</v>
      </c>
      <c r="AD88" s="28">
        <f t="shared" si="382"/>
        <v>0</v>
      </c>
      <c r="AE88" s="28"/>
      <c r="AF88" s="28">
        <f t="shared" si="354"/>
        <v>0</v>
      </c>
      <c r="AG88" s="28"/>
      <c r="AH88" s="48">
        <f ca="1">SUMIFS(Adjustments!H$5:H$557,Adjustments!$B$5:$B$557,'Jul17-Jun18 Retail'!#REF!,Adjustments!$C$5:$C$557,'Jul17-Jun18 Retail'!#REF!)</f>
        <v>0</v>
      </c>
      <c r="AI88" s="48">
        <f ca="1">SUMIFS(Adjustments!I$5:I$557,Adjustments!$B$5:$B$557,'Jul17-Jun18 Retail'!#REF!,Adjustments!$C$5:$C$557,'Jul17-Jun18 Retail'!#REF!)</f>
        <v>0</v>
      </c>
      <c r="AJ88" s="40">
        <f ca="1">SUMIFS(Adjustments!J$5:J$557,Adjustments!$B$5:$B$557,'Jul17-Jun18 Retail'!#REF!,Adjustments!$C$5:$C$557,'Jul17-Jun18 Retail'!#REF!)</f>
        <v>0</v>
      </c>
      <c r="AK88" s="40">
        <f ca="1">SUMIFS(Adjustments!K$5:K$557,Adjustments!$B$5:$B$557,'Jul17-Jun18 Retail'!#REF!,Adjustments!$C$5:$C$557,'Jul17-Jun18 Retail'!#REF!)</f>
        <v>0</v>
      </c>
      <c r="AL88" s="40">
        <f ca="1">SUMIFS(Adjustments!L$5:L$557,Adjustments!$B$5:$B$557,'Jul17-Jun18 Retail'!#REF!,Adjustments!$C$5:$C$557,'Jul17-Jun18 Retail'!#REF!)</f>
        <v>0</v>
      </c>
      <c r="AM88" s="40">
        <f ca="1">SUMIFS(Adjustments!M$5:M$557,Adjustments!$B$5:$B$557,'Jul17-Jun18 Retail'!#REF!,Adjustments!$C$5:$C$557,'Jul17-Jun18 Retail'!#REF!)</f>
        <v>0</v>
      </c>
      <c r="AN88" s="40">
        <f ca="1">SUMIFS(Adjustments!N$5:N$557,Adjustments!$B$5:$B$557,'Jul17-Jun18 Retail'!#REF!,Adjustments!$C$5:$C$557,'Jul17-Jun18 Retail'!#REF!)</f>
        <v>0</v>
      </c>
      <c r="AO88" s="40">
        <f ca="1">SUMIFS(Adjustments!O$5:O$557,Adjustments!$B$5:$B$557,'Jul17-Jun18 Retail'!#REF!,Adjustments!$C$5:$C$557,'Jul17-Jun18 Retail'!#REF!)</f>
        <v>0</v>
      </c>
      <c r="AP88" s="40">
        <f ca="1">SUMIFS(Adjustments!P$5:P$557,Adjustments!$B$5:$B$557,'Jul17-Jun18 Retail'!#REF!,Adjustments!$C$5:$C$557,'Jul17-Jun18 Retail'!#REF!)</f>
        <v>0</v>
      </c>
      <c r="AQ88" s="28">
        <f t="shared" ca="1" si="355"/>
        <v>0</v>
      </c>
      <c r="AR88" s="28">
        <f t="shared" ca="1" si="371"/>
        <v>0</v>
      </c>
      <c r="AS88" s="28">
        <f t="shared" ca="1" si="356"/>
        <v>0</v>
      </c>
      <c r="AT88" s="28">
        <f t="shared" ca="1" si="357"/>
        <v>0</v>
      </c>
      <c r="AU88" s="28">
        <f t="shared" si="372"/>
        <v>0</v>
      </c>
      <c r="AV88" s="28">
        <f t="shared" si="373"/>
        <v>0</v>
      </c>
      <c r="AW88" s="35">
        <f t="shared" si="374"/>
        <v>0</v>
      </c>
      <c r="AX88" s="35">
        <f t="shared" si="375"/>
        <v>0</v>
      </c>
      <c r="AY88" s="35">
        <f t="shared" si="376"/>
        <v>0</v>
      </c>
      <c r="AZ88" s="35">
        <f t="shared" si="358"/>
        <v>0</v>
      </c>
      <c r="BA88" s="28">
        <f t="shared" ca="1" si="359"/>
        <v>0</v>
      </c>
      <c r="BB88" s="28"/>
      <c r="BC88" s="35">
        <f t="shared" ca="1" si="383"/>
        <v>0</v>
      </c>
      <c r="BD88" s="35">
        <f t="shared" si="377"/>
        <v>0</v>
      </c>
      <c r="BE88" s="36">
        <f t="shared" si="361"/>
        <v>0</v>
      </c>
      <c r="BF88" s="35">
        <f>SUMIFS('Fin Forecast'!$V$3:$V$600,'Fin Forecast'!$B$3:$B$600,'Jul17-Jun18 Transport'!$E88,'Fin Forecast'!$C$3:$C$600,'Jul17-Jun18 Transport'!$BF$5)*1000</f>
        <v>0</v>
      </c>
      <c r="BG88" s="35">
        <f>SUMIFS('Fin Forecast'!$V$3:$V$600,'Fin Forecast'!$B$3:$B$600,'Jul17-Jun18 Transport'!$E88,'Fin Forecast'!$C$3:$C$600,'Jul17-Jun18 Transport'!$BG$5)*1000</f>
        <v>0</v>
      </c>
      <c r="BH88" s="35"/>
      <c r="BI88" s="35">
        <f>SUMIFS('Fin Forecast'!$V$3:$V$600,'Fin Forecast'!$B$3:$B$600,'Jul17-Jun18 Transport'!$E88,'Fin Forecast'!$C$3:$C$600,'Jul17-Jun18 Transport'!$BI$5)*1000</f>
        <v>0</v>
      </c>
      <c r="BJ88" s="35">
        <f>SUMIFS('Fin Forecast'!$V$3:$V$600,'Fin Forecast'!$B$3:$B$600,'Jul17-Jun18 Transport'!$E88,'Fin Forecast'!$C$3:$C$600,'Jul17-Jun18 Transport'!$BJ$5)*1000</f>
        <v>0</v>
      </c>
      <c r="BK88" s="35">
        <f>SUMIFS('Fin Forecast'!$V$3:$V$600,'Fin Forecast'!$B$3:$B$600,'Jul17-Jun18 Transport'!$E88,'Fin Forecast'!$C$3:$C$600,'Jul17-Jun18 Transport'!$BK$5)*1000</f>
        <v>0</v>
      </c>
      <c r="BL88" s="35">
        <f>SUMIFS('Fin Forecast'!$V$3:$V$600,'Fin Forecast'!$B$3:$B$600,'Jul17-Jun18 Transport'!$E88,'Fin Forecast'!$C$3:$C$600,'Jul17-Jun18 Transport'!$BL$5)*1000</f>
        <v>0</v>
      </c>
      <c r="BM88" s="35">
        <f>SUMIFS('Fin Forecast'!$V$3:$V$600,'Fin Forecast'!$B$3:$B$600,'Jul17-Jun18 Transport'!$E88,'Fin Forecast'!$C$3:$C$600,'Jul17-Jun18 Transport'!$BM$5)*1000</f>
        <v>0</v>
      </c>
      <c r="BN88" s="35">
        <f>SUMIFS('Fin Forecast'!$V$3:$V$600,'Fin Forecast'!$B$3:$B$600,'Jul17-Jun18 Transport'!$E88,'Fin Forecast'!$C$3:$C$600,'Jul17-Jun18 Transport'!$BN$5)*1000</f>
        <v>0</v>
      </c>
      <c r="BP88" s="44">
        <f t="shared" ca="1" si="362"/>
        <v>0</v>
      </c>
      <c r="BR88" s="49">
        <f t="shared" ca="1" si="363"/>
        <v>0</v>
      </c>
      <c r="BS88" s="49">
        <f t="shared" ca="1" si="364"/>
        <v>0</v>
      </c>
      <c r="BT88" s="49">
        <f t="shared" si="365"/>
        <v>0</v>
      </c>
    </row>
    <row r="89" spans="1:72" ht="15" x14ac:dyDescent="0.25">
      <c r="A89" s="304"/>
      <c r="C89" s="6">
        <f t="shared" si="378"/>
        <v>72</v>
      </c>
      <c r="D89" s="361">
        <f t="shared" si="379"/>
        <v>43252</v>
      </c>
      <c r="E89" s="361" t="s">
        <v>34</v>
      </c>
      <c r="F89" s="6" t="str">
        <f t="shared" si="366"/>
        <v>996</v>
      </c>
      <c r="G89" s="6" t="s">
        <v>754</v>
      </c>
      <c r="H89" s="25">
        <f>SUMIF('Forcasted Customer Cts'!$D$5:$D$36,'Jul17-Jun18 Transport'!$E89,'Forcasted Customer Cts'!$AA$5:$AA$36)</f>
        <v>1</v>
      </c>
      <c r="I89" s="25"/>
      <c r="J89" s="25"/>
      <c r="K89" s="25">
        <f>SUMIF('Forecasted Calendar Month Usage'!$D$5:$D$41,'Jul17-Jun18 Transport'!$E89,'Forecasted Calendar Month Usage'!$AI$5:$AI$41)*10</f>
        <v>121917.99999999997</v>
      </c>
      <c r="L89" s="25"/>
      <c r="M89" s="25"/>
      <c r="N89" s="25">
        <f>16560*10</f>
        <v>165600</v>
      </c>
      <c r="O89" s="26">
        <f>VLOOKUP($E89,'Retail Rates'!$B$7:$L$34,5,FALSE)</f>
        <v>180</v>
      </c>
      <c r="P89" s="26">
        <f>VLOOKUP($E89,'Retail Rates'!$B$7:$L$34,6,FALSE)</f>
        <v>0</v>
      </c>
      <c r="Q89" s="26">
        <f>VLOOKUP($E89,'Retail Rates'!$B$7:$L$34,9,FALSE)</f>
        <v>0</v>
      </c>
      <c r="R89" s="27">
        <f>VLOOKUP($E89,'Retail Rates'!$B$7:$L$34,7,FALSE)</f>
        <v>3.329E-2</v>
      </c>
      <c r="S89" s="27">
        <f>VLOOKUP($E89,'Retail Rates'!$B$7:$L$34,8,FALSE)</f>
        <v>0</v>
      </c>
      <c r="T89" s="309">
        <v>0</v>
      </c>
      <c r="U89" s="403">
        <f>VLOOKUP($E89,'Retail Rates'!$B$7:$L$34,11,FALSE)</f>
        <v>1.12629</v>
      </c>
      <c r="V89" s="27"/>
      <c r="W89" s="309"/>
      <c r="X89" s="28">
        <f t="shared" si="380"/>
        <v>180</v>
      </c>
      <c r="Y89" s="28">
        <f t="shared" si="367"/>
        <v>0</v>
      </c>
      <c r="Z89" s="28">
        <f t="shared" si="381"/>
        <v>0</v>
      </c>
      <c r="AA89" s="28">
        <f t="shared" si="353"/>
        <v>4058.6502199999991</v>
      </c>
      <c r="AB89" s="28">
        <f t="shared" si="368"/>
        <v>0</v>
      </c>
      <c r="AC89" s="28">
        <f t="shared" si="369"/>
        <v>0</v>
      </c>
      <c r="AD89" s="28">
        <f t="shared" si="382"/>
        <v>0</v>
      </c>
      <c r="AE89" s="28"/>
      <c r="AF89" s="28">
        <f>N89*U89</f>
        <v>186513.62400000001</v>
      </c>
      <c r="AG89" s="28"/>
      <c r="AH89" s="48">
        <f ca="1">SUMIFS(Adjustments!H$5:H$557,Adjustments!$B$5:$B$557,'Jul17-Jun18 Retail'!$D87,Adjustments!$C$5:$C$557,'Jul17-Jun18 Retail'!$E87)</f>
        <v>0</v>
      </c>
      <c r="AI89" s="48">
        <f ca="1">SUMIFS(Adjustments!I$5:I$557,Adjustments!$B$5:$B$557,'Jul17-Jun18 Retail'!$D87,Adjustments!$C$5:$C$557,'Jul17-Jun18 Retail'!$E87)</f>
        <v>0</v>
      </c>
      <c r="AJ89" s="40">
        <f ca="1">SUMIFS(Adjustments!J$5:J$557,Adjustments!$B$5:$B$557,'Jul17-Jun18 Retail'!$D87,Adjustments!$C$5:$C$557,'Jul17-Jun18 Retail'!$E87)</f>
        <v>0</v>
      </c>
      <c r="AK89" s="40">
        <f ca="1">SUMIFS(Adjustments!K$5:K$557,Adjustments!$B$5:$B$557,'Jul17-Jun18 Retail'!$D87,Adjustments!$C$5:$C$557,'Jul17-Jun18 Retail'!$E87)</f>
        <v>0</v>
      </c>
      <c r="AL89" s="40">
        <f ca="1">SUMIFS(Adjustments!L$5:L$557,Adjustments!$B$5:$B$557,'Jul17-Jun18 Retail'!$D87,Adjustments!$C$5:$C$557,'Jul17-Jun18 Retail'!$E87)</f>
        <v>0</v>
      </c>
      <c r="AM89" s="40">
        <f ca="1">SUMIFS(Adjustments!M$5:M$557,Adjustments!$B$5:$B$557,'Jul17-Jun18 Retail'!$D87,Adjustments!$C$5:$C$557,'Jul17-Jun18 Retail'!$E87)</f>
        <v>0</v>
      </c>
      <c r="AN89" s="40">
        <f ca="1">SUMIFS(Adjustments!N$5:N$557,Adjustments!$B$5:$B$557,'Jul17-Jun18 Retail'!$D87,Adjustments!$C$5:$C$557,'Jul17-Jun18 Retail'!$E87)</f>
        <v>0</v>
      </c>
      <c r="AO89" s="40">
        <f ca="1">SUMIFS(Adjustments!O$5:O$557,Adjustments!$B$5:$B$557,'Jul17-Jun18 Retail'!$D87,Adjustments!$C$5:$C$557,'Jul17-Jun18 Retail'!$E87)</f>
        <v>0</v>
      </c>
      <c r="AP89" s="40">
        <f ca="1">SUMIFS(Adjustments!P$5:P$557,Adjustments!$B$5:$B$557,'Jul17-Jun18 Retail'!$D87,Adjustments!$C$5:$C$557,'Jul17-Jun18 Retail'!$E87)</f>
        <v>0</v>
      </c>
      <c r="AQ89" s="28">
        <f t="shared" ca="1" si="355"/>
        <v>180</v>
      </c>
      <c r="AR89" s="28">
        <f t="shared" ca="1" si="371"/>
        <v>0</v>
      </c>
      <c r="AS89" s="28">
        <f t="shared" ca="1" si="356"/>
        <v>4058.6502199999991</v>
      </c>
      <c r="AT89" s="28">
        <f t="shared" ca="1" si="357"/>
        <v>0</v>
      </c>
      <c r="AU89" s="28">
        <f t="shared" si="372"/>
        <v>0</v>
      </c>
      <c r="AV89" s="28">
        <f t="shared" si="373"/>
        <v>0</v>
      </c>
      <c r="AW89" s="35">
        <f t="shared" si="374"/>
        <v>49313.344521089202</v>
      </c>
      <c r="AX89" s="35">
        <f t="shared" si="375"/>
        <v>0</v>
      </c>
      <c r="AY89" s="35">
        <f t="shared" si="376"/>
        <v>0</v>
      </c>
      <c r="AZ89" s="35">
        <f t="shared" si="358"/>
        <v>0</v>
      </c>
      <c r="BA89" s="28">
        <f t="shared" ca="1" si="359"/>
        <v>186513.62400000001</v>
      </c>
      <c r="BB89" s="28"/>
      <c r="BC89" s="35">
        <f t="shared" ca="1" si="383"/>
        <v>240065.62</v>
      </c>
      <c r="BD89" s="35">
        <f t="shared" si="377"/>
        <v>240065.61874108919</v>
      </c>
      <c r="BE89" s="36">
        <f t="shared" ca="1" si="361"/>
        <v>1</v>
      </c>
      <c r="BF89" s="35">
        <f>SUMIFS('Fin Forecast'!$V$3:$V$600,'Fin Forecast'!$B$3:$B$600,'Jul17-Jun18 Transport'!$E89,'Fin Forecast'!$C$3:$C$600,'Jul17-Jun18 Transport'!$BF$5)*1000</f>
        <v>0</v>
      </c>
      <c r="BG89" s="35">
        <f>SUMIFS('Fin Forecast'!$V$3:$V$600,'Fin Forecast'!$B$3:$B$600,'Jul17-Jun18 Transport'!$E89,'Fin Forecast'!$C$3:$C$600,'Jul17-Jun18 Transport'!$BG$5)*1000</f>
        <v>49313.344521089202</v>
      </c>
      <c r="BH89" s="35"/>
      <c r="BI89" s="35">
        <f>SUMIFS('Fin Forecast'!$V$3:$V$600,'Fin Forecast'!$B$3:$B$600,'Jul17-Jun18 Transport'!$E89,'Fin Forecast'!$C$3:$C$600,'Jul17-Jun18 Transport'!$BI$5)*1000</f>
        <v>0</v>
      </c>
      <c r="BJ89" s="35">
        <f>SUMIFS('Fin Forecast'!$V$3:$V$600,'Fin Forecast'!$B$3:$B$600,'Jul17-Jun18 Transport'!$E89,'Fin Forecast'!$C$3:$C$600,'Jul17-Jun18 Transport'!$BJ$5)*1000</f>
        <v>0</v>
      </c>
      <c r="BK89" s="35">
        <f>SUMIFS('Fin Forecast'!$V$3:$V$600,'Fin Forecast'!$B$3:$B$600,'Jul17-Jun18 Transport'!$E89,'Fin Forecast'!$C$3:$C$600,'Jul17-Jun18 Transport'!$BK$5)*1000</f>
        <v>180</v>
      </c>
      <c r="BL89" s="35">
        <f>SUMIFS('Fin Forecast'!$V$3:$V$600,'Fin Forecast'!$B$3:$B$600,'Jul17-Jun18 Transport'!$E89,'Fin Forecast'!$C$3:$C$600,'Jul17-Jun18 Transport'!$BL$5)*1000</f>
        <v>4058.6502199999995</v>
      </c>
      <c r="BM89" s="35">
        <f>SUMIFS('Fin Forecast'!$V$3:$V$600,'Fin Forecast'!$B$3:$B$600,'Jul17-Jun18 Transport'!$E89,'Fin Forecast'!$C$3:$C$600,'Jul17-Jun18 Transport'!$BM$5)*1000</f>
        <v>186513.62399999998</v>
      </c>
      <c r="BN89" s="35">
        <f>SUMIFS('Fin Forecast'!$V$3:$V$600,'Fin Forecast'!$B$3:$B$600,'Jul17-Jun18 Transport'!$E89,'Fin Forecast'!$C$3:$C$600,'Jul17-Jun18 Transport'!$BN$5)*1000</f>
        <v>0</v>
      </c>
      <c r="BP89" s="44">
        <f t="shared" ca="1" si="362"/>
        <v>1.2589108082465827E-3</v>
      </c>
      <c r="BR89" s="49">
        <f t="shared" ca="1" si="363"/>
        <v>0</v>
      </c>
      <c r="BS89" s="49">
        <f t="shared" ca="1" si="364"/>
        <v>0</v>
      </c>
      <c r="BT89" s="49">
        <f t="shared" si="365"/>
        <v>0</v>
      </c>
    </row>
    <row r="90" spans="1:72" s="323" customFormat="1" ht="15" x14ac:dyDescent="0.25">
      <c r="C90" s="324"/>
      <c r="D90" s="363"/>
      <c r="E90" s="363"/>
      <c r="K90" s="575"/>
      <c r="L90" s="575"/>
      <c r="AQ90" s="329">
        <f ca="1">SUM(AQ7:AQ89)</f>
        <v>11760</v>
      </c>
      <c r="AR90" s="329">
        <f ca="1">SUM(AR7:AR89)</f>
        <v>10800</v>
      </c>
      <c r="AS90" s="329">
        <f t="shared" ref="AS90:AT90" ca="1" si="384">SUM(AS7:AS89)</f>
        <v>5930577.7977552842</v>
      </c>
      <c r="AT90" s="329">
        <f t="shared" ca="1" si="384"/>
        <v>503573.03415320773</v>
      </c>
      <c r="AU90" s="329">
        <f t="shared" ref="AU90:AV90" si="385">SUM(AU7:AU89)</f>
        <v>528000</v>
      </c>
      <c r="AV90" s="329">
        <f t="shared" si="385"/>
        <v>63900</v>
      </c>
      <c r="BA90" s="329">
        <f t="shared" ref="BA90" ca="1" si="386">SUM(BA7:BA89)</f>
        <v>2238163.4880000004</v>
      </c>
      <c r="BC90" s="329"/>
      <c r="BD90" s="329"/>
      <c r="BF90" s="329">
        <f>SUM(BF7:BF89)</f>
        <v>1930120.2622383344</v>
      </c>
      <c r="BG90" s="329">
        <f>SUM(BG7:BG89)</f>
        <v>630517.45178326871</v>
      </c>
      <c r="BN90" s="329">
        <f>SUM(BN7:BN89)</f>
        <v>151771.87328325817</v>
      </c>
      <c r="BP90" s="341">
        <f ca="1">SUM(BP7:BP89)</f>
        <v>-1.7555235450345208E-2</v>
      </c>
      <c r="BS90" s="341">
        <f ca="1">SUM(BS7:BS89)</f>
        <v>-3.4188396239187568E-4</v>
      </c>
    </row>
    <row r="91" spans="1:72" ht="15" x14ac:dyDescent="0.25">
      <c r="D91" s="409"/>
      <c r="E91" s="409"/>
      <c r="BC91"/>
    </row>
    <row r="92" spans="1:72" ht="15" x14ac:dyDescent="0.25">
      <c r="D92" s="409"/>
      <c r="E92" s="409"/>
      <c r="G92" s="13" t="s">
        <v>206</v>
      </c>
      <c r="H92" s="52">
        <f>SUM(H7:J89)</f>
        <v>972</v>
      </c>
      <c r="J92" s="597"/>
      <c r="K92" s="600" t="s">
        <v>627</v>
      </c>
      <c r="L92" s="600" t="s">
        <v>628</v>
      </c>
      <c r="M92" s="600" t="s">
        <v>435</v>
      </c>
      <c r="AQ92" s="49">
        <f ca="1">AQ90+AR90</f>
        <v>22560</v>
      </c>
      <c r="AS92" s="49">
        <f ca="1">AS90+AT90</f>
        <v>6434150.8319084924</v>
      </c>
    </row>
    <row r="93" spans="1:72" ht="15" x14ac:dyDescent="0.25">
      <c r="D93" s="409"/>
      <c r="E93" s="409"/>
      <c r="G93" s="303" t="s">
        <v>620</v>
      </c>
      <c r="H93" s="595">
        <f>'Forcasted Customer Cts'!P44</f>
        <v>972</v>
      </c>
      <c r="J93" s="598" t="str">
        <f>E84</f>
        <v>LGCMG895</v>
      </c>
      <c r="K93" s="599">
        <f>SUMIF($E$7:$E$89,$J93,$H$7:$H$89)</f>
        <v>876</v>
      </c>
      <c r="L93" s="13">
        <f>SUM('Fin Forecast'!K68:V68)+SUM('Fin Forecast'!K461:V461)+SUM('Fin Forecast'!K308:V308)</f>
        <v>876</v>
      </c>
      <c r="M93" s="52">
        <f>K93-L93</f>
        <v>0</v>
      </c>
      <c r="N93" s="418"/>
      <c r="BF93"/>
    </row>
    <row r="94" spans="1:72" ht="15" x14ac:dyDescent="0.25">
      <c r="D94" s="409"/>
      <c r="E94" s="409"/>
      <c r="G94" s="303"/>
      <c r="H94" s="592">
        <f>H92-H93</f>
        <v>0</v>
      </c>
      <c r="J94" s="598" t="str">
        <f t="shared" ref="J94" si="387">E85</f>
        <v>LGING896</v>
      </c>
      <c r="K94" s="599"/>
      <c r="M94" s="52"/>
      <c r="N94" s="418"/>
      <c r="BF94"/>
      <c r="BG94" s="24" t="s">
        <v>180</v>
      </c>
      <c r="BH94" s="24" t="s">
        <v>178</v>
      </c>
      <c r="BI94" s="33" t="s">
        <v>424</v>
      </c>
    </row>
    <row r="95" spans="1:72" ht="15" x14ac:dyDescent="0.25">
      <c r="D95" s="409"/>
      <c r="E95" s="409"/>
      <c r="G95" s="303"/>
      <c r="J95" s="598" t="str">
        <f>E86</f>
        <v>LGING882</v>
      </c>
      <c r="K95" s="599">
        <f>SUMIF($E$7:$E$89,$J95,$J$7:$J$89)</f>
        <v>60</v>
      </c>
      <c r="L95" s="13">
        <f>SUM('Fin Forecast'!K371:V371)</f>
        <v>60</v>
      </c>
      <c r="M95" s="52">
        <f t="shared" ref="M95:M98" si="388">K95-L95</f>
        <v>0</v>
      </c>
      <c r="BF95" s="361" t="s">
        <v>41</v>
      </c>
      <c r="BG95" s="376">
        <f>SUMIF($E$7:$E$89,$BF95,$BF$7:$BF$89)</f>
        <v>1930120.2622383344</v>
      </c>
      <c r="BH95" s="376">
        <f>SUMIF($E$7:$E$89,$BF95,$BG$7:$BG$89)</f>
        <v>0</v>
      </c>
      <c r="BI95" s="376">
        <f>SUMIF($E$7:$E$89,$BF95,$BN$7:$BN$89)</f>
        <v>0</v>
      </c>
    </row>
    <row r="96" spans="1:72" ht="15" x14ac:dyDescent="0.25">
      <c r="D96" s="409"/>
      <c r="E96" s="409"/>
      <c r="J96" s="598" t="str">
        <f>E87</f>
        <v>LGING892</v>
      </c>
      <c r="K96" s="599">
        <f t="shared" ref="K96:K98" si="389">SUMIF($E$7:$E$89,$J96,$H$7:$H$89)</f>
        <v>24</v>
      </c>
      <c r="L96" s="13">
        <f>SUM('Fin Forecast'!K340:V340)</f>
        <v>24</v>
      </c>
      <c r="M96" s="52">
        <f t="shared" si="388"/>
        <v>0</v>
      </c>
      <c r="BF96" s="361" t="s">
        <v>43</v>
      </c>
      <c r="BG96" s="376">
        <f>SUMIF($E$7:$E$89,$BF96,$BF$7:$BF$89)</f>
        <v>0</v>
      </c>
      <c r="BH96" s="376">
        <f t="shared" ref="BH96:BH100" si="390">SUMIF($E$7:$E$89,$BF96,$BG$7:$BG$89)</f>
        <v>0</v>
      </c>
      <c r="BI96" s="376">
        <f t="shared" ref="BI96:BI100" si="391">SUMIF($E$7:$E$89,$BF96,$BN$7:$BN$89)</f>
        <v>0</v>
      </c>
    </row>
    <row r="97" spans="4:62" ht="15" x14ac:dyDescent="0.25">
      <c r="D97" s="409"/>
      <c r="E97" s="409"/>
      <c r="G97" s="303"/>
      <c r="J97" s="598" t="str">
        <f>E88</f>
        <v>LGING997</v>
      </c>
      <c r="K97" s="599">
        <f t="shared" si="389"/>
        <v>0</v>
      </c>
      <c r="L97" s="13">
        <f>SUM('Fin Forecast'!K247:V247)</f>
        <v>0</v>
      </c>
      <c r="M97" s="52">
        <f t="shared" si="388"/>
        <v>0</v>
      </c>
      <c r="BF97" s="361" t="s">
        <v>31</v>
      </c>
      <c r="BG97" s="376">
        <f t="shared" ref="BG97:BG100" si="392">SUMIF($E$7:$E$89,$BF97,$BF$7:$BF$89)</f>
        <v>0</v>
      </c>
      <c r="BH97" s="376">
        <f t="shared" si="390"/>
        <v>0</v>
      </c>
      <c r="BI97" s="376">
        <f t="shared" si="391"/>
        <v>95485.002848615331</v>
      </c>
    </row>
    <row r="98" spans="4:62" ht="15" x14ac:dyDescent="0.25">
      <c r="D98" s="409"/>
      <c r="E98" s="409" t="s">
        <v>631</v>
      </c>
      <c r="G98" s="303"/>
      <c r="J98" s="598" t="str">
        <f>E89</f>
        <v>LGING996</v>
      </c>
      <c r="K98" s="599">
        <f t="shared" si="389"/>
        <v>12</v>
      </c>
      <c r="L98" s="13">
        <f>SUM('Fin Forecast'!K215:V215)</f>
        <v>12</v>
      </c>
      <c r="M98" s="52">
        <f t="shared" si="388"/>
        <v>0</v>
      </c>
      <c r="BF98" s="361" t="s">
        <v>87</v>
      </c>
      <c r="BG98" s="376">
        <f t="shared" si="392"/>
        <v>0</v>
      </c>
      <c r="BH98" s="376">
        <f t="shared" si="390"/>
        <v>0</v>
      </c>
      <c r="BI98" s="376">
        <f t="shared" si="391"/>
        <v>56286.870434642828</v>
      </c>
    </row>
    <row r="99" spans="4:62" ht="15" x14ac:dyDescent="0.25">
      <c r="D99" s="409"/>
      <c r="E99" s="4" t="s">
        <v>633</v>
      </c>
      <c r="F99" s="377">
        <f>'Forecasted Calendar Month Usage'!X53</f>
        <v>13184078.521787863</v>
      </c>
      <c r="K99" s="599"/>
      <c r="BF99" s="361" t="s">
        <v>51</v>
      </c>
      <c r="BG99" s="376">
        <f t="shared" si="392"/>
        <v>0</v>
      </c>
      <c r="BH99" s="376">
        <f t="shared" si="390"/>
        <v>0</v>
      </c>
      <c r="BI99" s="376">
        <f t="shared" si="391"/>
        <v>0</v>
      </c>
    </row>
    <row r="100" spans="4:62" ht="15" x14ac:dyDescent="0.25">
      <c r="D100" s="409"/>
      <c r="E100" s="4" t="s">
        <v>634</v>
      </c>
      <c r="F100" s="594">
        <f>SUM(K7:L89)/10</f>
        <v>13184078.521787861</v>
      </c>
      <c r="J100" s="13" t="s">
        <v>206</v>
      </c>
      <c r="K100" s="52">
        <f>SUM(K93:K99)</f>
        <v>972</v>
      </c>
      <c r="M100" s="52">
        <f>SUM(M93:M99)</f>
        <v>0</v>
      </c>
      <c r="BF100" s="361" t="s">
        <v>34</v>
      </c>
      <c r="BG100" s="376">
        <f t="shared" si="392"/>
        <v>0</v>
      </c>
      <c r="BH100" s="376">
        <f t="shared" si="390"/>
        <v>630517.45178326871</v>
      </c>
      <c r="BI100" s="376">
        <f t="shared" si="391"/>
        <v>0</v>
      </c>
    </row>
    <row r="101" spans="4:62" ht="15" x14ac:dyDescent="0.25">
      <c r="D101" s="409"/>
      <c r="E101" s="409"/>
      <c r="F101" s="52">
        <f>F99-F100</f>
        <v>0</v>
      </c>
      <c r="J101" s="13" t="s">
        <v>626</v>
      </c>
      <c r="K101" s="594">
        <f>G94</f>
        <v>0</v>
      </c>
      <c r="BF101"/>
    </row>
    <row r="102" spans="4:62" ht="15" x14ac:dyDescent="0.25">
      <c r="D102" s="409"/>
      <c r="E102" s="409" t="s">
        <v>755</v>
      </c>
      <c r="F102" s="52">
        <f>K12+K19+K26+K33+K40+K47+K54+K61+K68+K75+K82+K89</f>
        <v>1545798</v>
      </c>
      <c r="K102" s="52">
        <f>K100-K101</f>
        <v>972</v>
      </c>
      <c r="BF102" s="361" t="s">
        <v>206</v>
      </c>
      <c r="BG102" s="44">
        <f>SUM(BG95:BG101)</f>
        <v>1930120.2622383344</v>
      </c>
      <c r="BH102" s="44">
        <f t="shared" ref="BH102:BI102" si="393">SUM(BH95:BH101)</f>
        <v>630517.45178326871</v>
      </c>
      <c r="BI102" s="44">
        <f t="shared" si="393"/>
        <v>151771.87328325817</v>
      </c>
    </row>
    <row r="103" spans="4:62" ht="15" x14ac:dyDescent="0.25">
      <c r="D103" s="409"/>
      <c r="E103" s="409" t="s">
        <v>700</v>
      </c>
      <c r="F103" s="52">
        <f>F100-F102</f>
        <v>11638280.521787861</v>
      </c>
      <c r="BF103" s="361" t="s">
        <v>642</v>
      </c>
      <c r="BG103" s="44">
        <f>BF90</f>
        <v>1930120.2622383344</v>
      </c>
      <c r="BH103" s="44">
        <f>BG90</f>
        <v>630517.45178326871</v>
      </c>
      <c r="BI103" s="44">
        <f>BN90</f>
        <v>151771.87328325817</v>
      </c>
    </row>
    <row r="104" spans="4:62" ht="15" x14ac:dyDescent="0.25">
      <c r="D104" s="409"/>
      <c r="E104" s="409"/>
      <c r="BF104" s="13" t="s">
        <v>435</v>
      </c>
      <c r="BG104" s="44">
        <f>BG102-BG103</f>
        <v>0</v>
      </c>
      <c r="BH104" s="44">
        <f t="shared" ref="BH104:BI104" si="394">BH102-BH103</f>
        <v>0</v>
      </c>
      <c r="BI104" s="44">
        <f t="shared" si="394"/>
        <v>0</v>
      </c>
    </row>
    <row r="105" spans="4:62" ht="15" x14ac:dyDescent="0.25">
      <c r="D105" s="409"/>
      <c r="E105" s="409"/>
    </row>
    <row r="106" spans="4:62" ht="15" x14ac:dyDescent="0.25">
      <c r="D106" s="409"/>
      <c r="E106" s="409"/>
      <c r="BF106" s="596" t="s">
        <v>427</v>
      </c>
      <c r="BG106" s="44">
        <f>'Jul17-Jun18 Retail'!AV101</f>
        <v>3201787.4766642917</v>
      </c>
      <c r="BH106" s="44">
        <f>'Jul17-Jun18 Retail'!AU101</f>
        <v>135270880.39599562</v>
      </c>
      <c r="BI106" s="44">
        <f>'Jul17-Jun18 Retail'!AW101</f>
        <v>34283189.6996888</v>
      </c>
    </row>
    <row r="107" spans="4:62" ht="15" x14ac:dyDescent="0.25">
      <c r="D107" s="409"/>
      <c r="E107" s="409"/>
      <c r="BF107" s="596" t="s">
        <v>635</v>
      </c>
      <c r="BG107" s="611">
        <f>BG102</f>
        <v>1930120.2622383344</v>
      </c>
      <c r="BH107" s="611">
        <f t="shared" ref="BH107:BI107" si="395">BH102</f>
        <v>630517.45178326871</v>
      </c>
      <c r="BI107" s="611">
        <f t="shared" si="395"/>
        <v>151771.87328325817</v>
      </c>
    </row>
    <row r="108" spans="4:62" ht="15" x14ac:dyDescent="0.25">
      <c r="D108" s="409"/>
      <c r="E108" s="409"/>
      <c r="BF108" s="596" t="s">
        <v>263</v>
      </c>
      <c r="BG108" s="44">
        <f>SUM(BG106:BG107)</f>
        <v>5131907.7389026266</v>
      </c>
      <c r="BH108" s="44">
        <f t="shared" ref="BH108:BI108" si="396">SUM(BH106:BH107)</f>
        <v>135901397.84777889</v>
      </c>
      <c r="BI108" s="44">
        <f t="shared" si="396"/>
        <v>34434961.572972059</v>
      </c>
    </row>
    <row r="109" spans="4:62" ht="15" x14ac:dyDescent="0.25">
      <c r="D109" s="409"/>
      <c r="E109" s="409"/>
      <c r="BF109" s="596" t="s">
        <v>643</v>
      </c>
      <c r="BG109" s="44">
        <f ca="1">'Revenue Summary B'!G40</f>
        <v>5131907.7389026266</v>
      </c>
      <c r="BH109" s="44">
        <f ca="1">'Revenue Summary B'!E40</f>
        <v>135901397.84777892</v>
      </c>
      <c r="BI109" s="44">
        <f ca="1">'Revenue Summary B'!I40</f>
        <v>34434961.572972059</v>
      </c>
      <c r="BJ109" s="13" t="s">
        <v>710</v>
      </c>
    </row>
    <row r="110" spans="4:62" ht="15" x14ac:dyDescent="0.25">
      <c r="D110" s="409"/>
      <c r="E110" s="409"/>
      <c r="BG110" s="44">
        <f ca="1">BG108-BG109</f>
        <v>0</v>
      </c>
      <c r="BH110" s="44">
        <f t="shared" ref="BH110:BI110" ca="1" si="397">BH108-BH109</f>
        <v>0</v>
      </c>
      <c r="BI110" s="44">
        <f t="shared" ca="1" si="397"/>
        <v>0</v>
      </c>
    </row>
    <row r="111" spans="4:62" ht="15" x14ac:dyDescent="0.25">
      <c r="D111" s="409"/>
      <c r="E111" s="409"/>
    </row>
    <row r="112" spans="4:62" ht="15" x14ac:dyDescent="0.25">
      <c r="D112" s="409"/>
      <c r="E112" s="409"/>
    </row>
    <row r="113" spans="4:5" ht="15" x14ac:dyDescent="0.25">
      <c r="D113" s="409"/>
      <c r="E113" s="409"/>
    </row>
    <row r="114" spans="4:5" ht="15" x14ac:dyDescent="0.25">
      <c r="D114" s="409"/>
      <c r="E114" s="409"/>
    </row>
    <row r="115" spans="4:5" ht="15" x14ac:dyDescent="0.25">
      <c r="D115" s="409"/>
      <c r="E115" s="409"/>
    </row>
    <row r="116" spans="4:5" ht="15" x14ac:dyDescent="0.25">
      <c r="D116" s="409"/>
      <c r="E116" s="409"/>
    </row>
    <row r="117" spans="4:5" ht="15" x14ac:dyDescent="0.25">
      <c r="D117" s="409"/>
      <c r="E117" s="409"/>
    </row>
    <row r="118" spans="4:5" ht="15" x14ac:dyDescent="0.25">
      <c r="D118" s="409"/>
      <c r="E118" s="409"/>
    </row>
    <row r="119" spans="4:5" ht="15" x14ac:dyDescent="0.25">
      <c r="D119" s="409"/>
      <c r="E119" s="409"/>
    </row>
    <row r="120" spans="4:5" ht="15" x14ac:dyDescent="0.25">
      <c r="D120" s="409"/>
      <c r="E120" s="409"/>
    </row>
    <row r="121" spans="4:5" ht="15" x14ac:dyDescent="0.25">
      <c r="D121" s="409"/>
      <c r="E121" s="409"/>
    </row>
    <row r="122" spans="4:5" ht="15" x14ac:dyDescent="0.25">
      <c r="D122" s="409"/>
      <c r="E122" s="409"/>
    </row>
    <row r="123" spans="4:5" ht="15" x14ac:dyDescent="0.25">
      <c r="D123" s="409"/>
      <c r="E123" s="409"/>
    </row>
    <row r="124" spans="4:5" ht="15" x14ac:dyDescent="0.25">
      <c r="D124" s="409"/>
      <c r="E124" s="409"/>
    </row>
    <row r="125" spans="4:5" ht="15" x14ac:dyDescent="0.25">
      <c r="D125" s="409"/>
      <c r="E125" s="409"/>
    </row>
    <row r="126" spans="4:5" ht="15" x14ac:dyDescent="0.25">
      <c r="D126" s="409"/>
      <c r="E126" s="409"/>
    </row>
    <row r="127" spans="4:5" ht="15" x14ac:dyDescent="0.25">
      <c r="D127" s="409"/>
      <c r="E127" s="409"/>
    </row>
    <row r="128" spans="4:5" ht="15" x14ac:dyDescent="0.25">
      <c r="D128" s="409"/>
      <c r="E128" s="409"/>
    </row>
    <row r="129" spans="4:5" ht="15" x14ac:dyDescent="0.25">
      <c r="D129" s="409"/>
      <c r="E129" s="409"/>
    </row>
    <row r="130" spans="4:5" ht="15" x14ac:dyDescent="0.25">
      <c r="D130" s="409"/>
      <c r="E130" s="409"/>
    </row>
    <row r="131" spans="4:5" ht="15" x14ac:dyDescent="0.25">
      <c r="D131" s="409"/>
      <c r="E131" s="409"/>
    </row>
    <row r="132" spans="4:5" ht="15" x14ac:dyDescent="0.25">
      <c r="D132" s="409"/>
      <c r="E132" s="409"/>
    </row>
    <row r="133" spans="4:5" ht="15" x14ac:dyDescent="0.25">
      <c r="D133" s="409"/>
      <c r="E133" s="409"/>
    </row>
    <row r="134" spans="4:5" ht="15" x14ac:dyDescent="0.25">
      <c r="D134" s="409"/>
      <c r="E134" s="409"/>
    </row>
    <row r="135" spans="4:5" ht="15" x14ac:dyDescent="0.25">
      <c r="D135" s="409"/>
      <c r="E135" s="409"/>
    </row>
    <row r="136" spans="4:5" ht="15" x14ac:dyDescent="0.25">
      <c r="D136" s="409"/>
      <c r="E136" s="409"/>
    </row>
    <row r="137" spans="4:5" ht="15" x14ac:dyDescent="0.25">
      <c r="D137" s="409"/>
      <c r="E137" s="409"/>
    </row>
    <row r="138" spans="4:5" ht="15" x14ac:dyDescent="0.25">
      <c r="D138" s="409"/>
      <c r="E138" s="409"/>
    </row>
    <row r="139" spans="4:5" ht="15" x14ac:dyDescent="0.25">
      <c r="D139" s="409"/>
      <c r="E139" s="409"/>
    </row>
    <row r="140" spans="4:5" ht="15" x14ac:dyDescent="0.25">
      <c r="D140" s="409"/>
      <c r="E140" s="409"/>
    </row>
    <row r="141" spans="4:5" ht="15" x14ac:dyDescent="0.25">
      <c r="D141" s="409"/>
      <c r="E141" s="409"/>
    </row>
    <row r="142" spans="4:5" ht="15" x14ac:dyDescent="0.25">
      <c r="D142" s="409"/>
      <c r="E142" s="409"/>
    </row>
    <row r="143" spans="4:5" ht="15" x14ac:dyDescent="0.25">
      <c r="D143" s="409"/>
      <c r="E143" s="409"/>
    </row>
    <row r="144" spans="4:5" ht="15" x14ac:dyDescent="0.25">
      <c r="D144" s="409"/>
      <c r="E144" s="409"/>
    </row>
    <row r="145" spans="4:5" ht="15" x14ac:dyDescent="0.25">
      <c r="D145" s="409"/>
      <c r="E145" s="409"/>
    </row>
    <row r="146" spans="4:5" ht="15" x14ac:dyDescent="0.25">
      <c r="D146" s="409"/>
      <c r="E146" s="409"/>
    </row>
    <row r="147" spans="4:5" ht="15" x14ac:dyDescent="0.25">
      <c r="D147" s="409"/>
      <c r="E147" s="409"/>
    </row>
    <row r="148" spans="4:5" ht="15" x14ac:dyDescent="0.25">
      <c r="D148" s="409"/>
      <c r="E148" s="409"/>
    </row>
    <row r="149" spans="4:5" ht="15" x14ac:dyDescent="0.25">
      <c r="D149" s="409"/>
      <c r="E149" s="409"/>
    </row>
    <row r="150" spans="4:5" ht="15" x14ac:dyDescent="0.25">
      <c r="D150" s="409"/>
      <c r="E150" s="409"/>
    </row>
    <row r="151" spans="4:5" ht="15" x14ac:dyDescent="0.25">
      <c r="D151" s="409"/>
      <c r="E151" s="409"/>
    </row>
    <row r="152" spans="4:5" ht="15" x14ac:dyDescent="0.25">
      <c r="D152" s="409"/>
      <c r="E152" s="409"/>
    </row>
    <row r="153" spans="4:5" ht="15" x14ac:dyDescent="0.25">
      <c r="D153" s="409"/>
      <c r="E153" s="409"/>
    </row>
    <row r="154" spans="4:5" ht="15" x14ac:dyDescent="0.25">
      <c r="D154" s="409"/>
      <c r="E154" s="409"/>
    </row>
    <row r="155" spans="4:5" ht="15" x14ac:dyDescent="0.25">
      <c r="D155" s="409"/>
      <c r="E155" s="409"/>
    </row>
    <row r="156" spans="4:5" ht="15" x14ac:dyDescent="0.25">
      <c r="D156" s="409"/>
      <c r="E156" s="409"/>
    </row>
    <row r="157" spans="4:5" ht="15" x14ac:dyDescent="0.25">
      <c r="D157" s="409"/>
      <c r="E157" s="409"/>
    </row>
    <row r="158" spans="4:5" ht="15" x14ac:dyDescent="0.25">
      <c r="D158" s="409"/>
      <c r="E158" s="409"/>
    </row>
    <row r="159" spans="4:5" ht="15" x14ac:dyDescent="0.25">
      <c r="D159" s="409"/>
      <c r="E159" s="409"/>
    </row>
    <row r="160" spans="4:5" ht="15" x14ac:dyDescent="0.25">
      <c r="D160" s="409"/>
      <c r="E160" s="409"/>
    </row>
    <row r="161" spans="4:5" ht="15" x14ac:dyDescent="0.25">
      <c r="D161" s="409"/>
      <c r="E161" s="409"/>
    </row>
    <row r="162" spans="4:5" ht="15" x14ac:dyDescent="0.25">
      <c r="D162" s="409"/>
      <c r="E162" s="409"/>
    </row>
    <row r="163" spans="4:5" ht="15" x14ac:dyDescent="0.25">
      <c r="D163" s="409"/>
      <c r="E163" s="409"/>
    </row>
    <row r="164" spans="4:5" ht="15" x14ac:dyDescent="0.25">
      <c r="D164" s="409"/>
      <c r="E164" s="409"/>
    </row>
    <row r="165" spans="4:5" ht="15" x14ac:dyDescent="0.25">
      <c r="D165" s="409"/>
      <c r="E165" s="409"/>
    </row>
    <row r="166" spans="4:5" ht="15" x14ac:dyDescent="0.25">
      <c r="D166" s="409"/>
      <c r="E166" s="409"/>
    </row>
    <row r="167" spans="4:5" ht="15" x14ac:dyDescent="0.25">
      <c r="D167" s="409"/>
      <c r="E167" s="409"/>
    </row>
    <row r="168" spans="4:5" ht="15" x14ac:dyDescent="0.25">
      <c r="D168" s="409"/>
      <c r="E168" s="409"/>
    </row>
    <row r="169" spans="4:5" ht="15" x14ac:dyDescent="0.25">
      <c r="D169" s="409"/>
      <c r="E169" s="409"/>
    </row>
    <row r="170" spans="4:5" ht="15" x14ac:dyDescent="0.25">
      <c r="D170" s="409"/>
      <c r="E170" s="409"/>
    </row>
    <row r="171" spans="4:5" ht="15" x14ac:dyDescent="0.25">
      <c r="D171" s="409"/>
      <c r="E171" s="409"/>
    </row>
    <row r="172" spans="4:5" ht="15" x14ac:dyDescent="0.25">
      <c r="D172" s="409"/>
      <c r="E172" s="409"/>
    </row>
    <row r="173" spans="4:5" ht="15" x14ac:dyDescent="0.25">
      <c r="D173" s="409"/>
      <c r="E173" s="409"/>
    </row>
    <row r="174" spans="4:5" ht="15" x14ac:dyDescent="0.25">
      <c r="D174" s="409"/>
      <c r="E174" s="409"/>
    </row>
    <row r="175" spans="4:5" ht="15" x14ac:dyDescent="0.25">
      <c r="D175" s="409"/>
      <c r="E175" s="409"/>
    </row>
    <row r="176" spans="4:5" ht="15" x14ac:dyDescent="0.25">
      <c r="D176" s="409"/>
      <c r="E176" s="409"/>
    </row>
    <row r="177" spans="4:5" ht="15" x14ac:dyDescent="0.25">
      <c r="D177" s="409"/>
      <c r="E177" s="409"/>
    </row>
    <row r="178" spans="4:5" ht="15" x14ac:dyDescent="0.25">
      <c r="D178" s="409"/>
      <c r="E178" s="409"/>
    </row>
    <row r="179" spans="4:5" ht="15" x14ac:dyDescent="0.25">
      <c r="D179" s="409"/>
      <c r="E179" s="409"/>
    </row>
    <row r="180" spans="4:5" ht="15" x14ac:dyDescent="0.25">
      <c r="D180" s="409"/>
      <c r="E180" s="409"/>
    </row>
    <row r="181" spans="4:5" ht="15" x14ac:dyDescent="0.25">
      <c r="D181" s="409"/>
      <c r="E181" s="409"/>
    </row>
    <row r="182" spans="4:5" ht="15" x14ac:dyDescent="0.25">
      <c r="D182" s="409"/>
      <c r="E182" s="409"/>
    </row>
    <row r="183" spans="4:5" ht="15" x14ac:dyDescent="0.25">
      <c r="D183" s="409"/>
      <c r="E183" s="409"/>
    </row>
    <row r="184" spans="4:5" ht="15" x14ac:dyDescent="0.25">
      <c r="D184" s="409"/>
      <c r="E184" s="409"/>
    </row>
    <row r="185" spans="4:5" ht="15" x14ac:dyDescent="0.25">
      <c r="D185" s="409"/>
      <c r="E185" s="409"/>
    </row>
    <row r="186" spans="4:5" ht="15" x14ac:dyDescent="0.25">
      <c r="D186" s="409"/>
      <c r="E186" s="409"/>
    </row>
    <row r="187" spans="4:5" ht="15" x14ac:dyDescent="0.25">
      <c r="D187" s="409"/>
      <c r="E187" s="409"/>
    </row>
    <row r="188" spans="4:5" ht="15" x14ac:dyDescent="0.25">
      <c r="D188" s="409"/>
      <c r="E188" s="409"/>
    </row>
    <row r="189" spans="4:5" ht="15" x14ac:dyDescent="0.25">
      <c r="D189" s="409"/>
      <c r="E189" s="409"/>
    </row>
    <row r="190" spans="4:5" ht="15" x14ac:dyDescent="0.25">
      <c r="D190" s="409"/>
      <c r="E190" s="409"/>
    </row>
    <row r="191" spans="4:5" ht="15" x14ac:dyDescent="0.25">
      <c r="D191" s="409"/>
      <c r="E191" s="409"/>
    </row>
    <row r="192" spans="4:5" ht="15" x14ac:dyDescent="0.25">
      <c r="D192" s="409"/>
      <c r="E192" s="409"/>
    </row>
    <row r="193" spans="4:5" ht="15" x14ac:dyDescent="0.25">
      <c r="D193" s="409"/>
      <c r="E193" s="409"/>
    </row>
    <row r="194" spans="4:5" ht="15" x14ac:dyDescent="0.25">
      <c r="D194" s="409"/>
      <c r="E194" s="409"/>
    </row>
    <row r="195" spans="4:5" ht="15" x14ac:dyDescent="0.25">
      <c r="D195" s="409"/>
      <c r="E195" s="409"/>
    </row>
    <row r="196" spans="4:5" ht="15" x14ac:dyDescent="0.25">
      <c r="D196" s="409"/>
      <c r="E196" s="409"/>
    </row>
    <row r="197" spans="4:5" ht="15" x14ac:dyDescent="0.25">
      <c r="D197" s="409"/>
      <c r="E197" s="409"/>
    </row>
    <row r="198" spans="4:5" ht="15" x14ac:dyDescent="0.25">
      <c r="D198" s="409"/>
      <c r="E198" s="409"/>
    </row>
    <row r="199" spans="4:5" ht="15" x14ac:dyDescent="0.25">
      <c r="D199" s="409"/>
      <c r="E199" s="409"/>
    </row>
    <row r="200" spans="4:5" ht="15" x14ac:dyDescent="0.25">
      <c r="D200" s="409"/>
      <c r="E200" s="409"/>
    </row>
    <row r="201" spans="4:5" ht="15" x14ac:dyDescent="0.25">
      <c r="D201" s="409"/>
      <c r="E201" s="409"/>
    </row>
    <row r="202" spans="4:5" ht="15" x14ac:dyDescent="0.25">
      <c r="D202" s="409"/>
      <c r="E202" s="409"/>
    </row>
    <row r="203" spans="4:5" x14ac:dyDescent="0.2">
      <c r="D203" s="361"/>
    </row>
    <row r="204" spans="4:5" x14ac:dyDescent="0.2">
      <c r="D204" s="361"/>
    </row>
    <row r="205" spans="4:5" x14ac:dyDescent="0.2">
      <c r="D205" s="361"/>
    </row>
    <row r="206" spans="4:5" x14ac:dyDescent="0.2">
      <c r="D206" s="361"/>
    </row>
    <row r="207" spans="4:5" x14ac:dyDescent="0.2">
      <c r="D207" s="361"/>
    </row>
    <row r="208" spans="4:5" x14ac:dyDescent="0.2">
      <c r="D208" s="361"/>
    </row>
    <row r="209" spans="4:4" x14ac:dyDescent="0.2">
      <c r="D209" s="361"/>
    </row>
    <row r="210" spans="4:4" x14ac:dyDescent="0.2">
      <c r="D210" s="361"/>
    </row>
    <row r="211" spans="4:4" x14ac:dyDescent="0.2">
      <c r="D211" s="361"/>
    </row>
    <row r="212" spans="4:4" x14ac:dyDescent="0.2">
      <c r="D212" s="361"/>
    </row>
    <row r="213" spans="4:4" x14ac:dyDescent="0.2">
      <c r="D213" s="361"/>
    </row>
    <row r="214" spans="4:4" x14ac:dyDescent="0.2">
      <c r="D214" s="361"/>
    </row>
    <row r="215" spans="4:4" x14ac:dyDescent="0.2">
      <c r="D215" s="361"/>
    </row>
    <row r="216" spans="4:4" x14ac:dyDescent="0.2">
      <c r="D216" s="361"/>
    </row>
    <row r="217" spans="4:4" x14ac:dyDescent="0.2">
      <c r="D217" s="361"/>
    </row>
    <row r="218" spans="4:4" x14ac:dyDescent="0.2">
      <c r="D218" s="361"/>
    </row>
    <row r="219" spans="4:4" x14ac:dyDescent="0.2">
      <c r="D219" s="361"/>
    </row>
    <row r="220" spans="4:4" x14ac:dyDescent="0.2">
      <c r="D220" s="361"/>
    </row>
    <row r="221" spans="4:4" x14ac:dyDescent="0.2">
      <c r="D221" s="361"/>
    </row>
    <row r="222" spans="4:4" x14ac:dyDescent="0.2">
      <c r="D222" s="361"/>
    </row>
    <row r="223" spans="4:4" x14ac:dyDescent="0.2">
      <c r="D223" s="361"/>
    </row>
    <row r="224" spans="4:4" x14ac:dyDescent="0.2">
      <c r="D224" s="361"/>
    </row>
    <row r="225" spans="4:4" x14ac:dyDescent="0.2">
      <c r="D225" s="361"/>
    </row>
    <row r="226" spans="4:4" x14ac:dyDescent="0.2">
      <c r="D226" s="361"/>
    </row>
    <row r="227" spans="4:4" x14ac:dyDescent="0.2">
      <c r="D227" s="361"/>
    </row>
    <row r="228" spans="4:4" x14ac:dyDescent="0.2">
      <c r="D228" s="361"/>
    </row>
    <row r="229" spans="4:4" x14ac:dyDescent="0.2">
      <c r="D229" s="361"/>
    </row>
    <row r="230" spans="4:4" x14ac:dyDescent="0.2">
      <c r="D230" s="361"/>
    </row>
    <row r="231" spans="4:4" x14ac:dyDescent="0.2">
      <c r="D231" s="361"/>
    </row>
    <row r="232" spans="4:4" x14ac:dyDescent="0.2">
      <c r="D232" s="361"/>
    </row>
    <row r="233" spans="4:4" x14ac:dyDescent="0.2">
      <c r="D233" s="361"/>
    </row>
    <row r="234" spans="4:4" x14ac:dyDescent="0.2">
      <c r="D234" s="361"/>
    </row>
    <row r="235" spans="4:4" x14ac:dyDescent="0.2">
      <c r="D235" s="361"/>
    </row>
    <row r="236" spans="4:4" x14ac:dyDescent="0.2">
      <c r="D236" s="361"/>
    </row>
    <row r="237" spans="4:4" x14ac:dyDescent="0.2">
      <c r="D237" s="361"/>
    </row>
    <row r="238" spans="4:4" x14ac:dyDescent="0.2">
      <c r="D238" s="361"/>
    </row>
    <row r="239" spans="4:4" x14ac:dyDescent="0.2">
      <c r="D239" s="361"/>
    </row>
    <row r="240" spans="4:4" x14ac:dyDescent="0.2">
      <c r="D240" s="361"/>
    </row>
    <row r="241" spans="4:4" x14ac:dyDescent="0.2">
      <c r="D241" s="361"/>
    </row>
    <row r="242" spans="4:4" x14ac:dyDescent="0.2">
      <c r="D242" s="361"/>
    </row>
    <row r="243" spans="4:4" x14ac:dyDescent="0.2">
      <c r="D243" s="361"/>
    </row>
    <row r="244" spans="4:4" x14ac:dyDescent="0.2">
      <c r="D244" s="361"/>
    </row>
    <row r="245" spans="4:4" x14ac:dyDescent="0.2">
      <c r="D245" s="361"/>
    </row>
    <row r="246" spans="4:4" x14ac:dyDescent="0.2">
      <c r="D246" s="361"/>
    </row>
    <row r="247" spans="4:4" x14ac:dyDescent="0.2">
      <c r="D247" s="361"/>
    </row>
    <row r="248" spans="4:4" x14ac:dyDescent="0.2">
      <c r="D248" s="361"/>
    </row>
    <row r="249" spans="4:4" x14ac:dyDescent="0.2">
      <c r="D249" s="361"/>
    </row>
    <row r="250" spans="4:4" x14ac:dyDescent="0.2">
      <c r="D250" s="361"/>
    </row>
    <row r="251" spans="4:4" x14ac:dyDescent="0.2">
      <c r="D251" s="361"/>
    </row>
    <row r="252" spans="4:4" x14ac:dyDescent="0.2">
      <c r="D252" s="361"/>
    </row>
    <row r="253" spans="4:4" x14ac:dyDescent="0.2">
      <c r="D253" s="361"/>
    </row>
    <row r="254" spans="4:4" x14ac:dyDescent="0.2">
      <c r="D254" s="361"/>
    </row>
    <row r="255" spans="4:4" x14ac:dyDescent="0.2">
      <c r="D255" s="361"/>
    </row>
    <row r="256" spans="4:4" x14ac:dyDescent="0.2">
      <c r="D256" s="361"/>
    </row>
    <row r="257" spans="4:4" x14ac:dyDescent="0.2">
      <c r="D257" s="361"/>
    </row>
    <row r="258" spans="4:4" x14ac:dyDescent="0.2">
      <c r="D258" s="361"/>
    </row>
  </sheetData>
  <conditionalFormatting sqref="BE34 BE41 BE48 BE55 BE62 BE69 BE76 BE83 BE7:BE13 BE20 BE27">
    <cfRule type="cellIs" dxfId="11" priority="41" operator="notBetween">
      <formula>0.998</formula>
      <formula>1.002</formula>
    </cfRule>
  </conditionalFormatting>
  <conditionalFormatting sqref="BE14:BE19">
    <cfRule type="cellIs" dxfId="10" priority="11" operator="notBetween">
      <formula>0.998</formula>
      <formula>1.002</formula>
    </cfRule>
  </conditionalFormatting>
  <conditionalFormatting sqref="BE21:BE26">
    <cfRule type="cellIs" dxfId="9" priority="10" operator="notBetween">
      <formula>0.998</formula>
      <formula>1.002</formula>
    </cfRule>
  </conditionalFormatting>
  <conditionalFormatting sqref="BE28:BE33">
    <cfRule type="cellIs" dxfId="8" priority="9" operator="notBetween">
      <formula>0.998</formula>
      <formula>1.002</formula>
    </cfRule>
  </conditionalFormatting>
  <conditionalFormatting sqref="BE35:BE40">
    <cfRule type="cellIs" dxfId="7" priority="8" operator="notBetween">
      <formula>0.998</formula>
      <formula>1.002</formula>
    </cfRule>
  </conditionalFormatting>
  <conditionalFormatting sqref="BE42:BE47">
    <cfRule type="cellIs" dxfId="6" priority="7" operator="notBetween">
      <formula>0.998</formula>
      <formula>1.002</formula>
    </cfRule>
  </conditionalFormatting>
  <conditionalFormatting sqref="BE49:BE54">
    <cfRule type="cellIs" dxfId="5" priority="6" operator="notBetween">
      <formula>0.998</formula>
      <formula>1.002</formula>
    </cfRule>
  </conditionalFormatting>
  <conditionalFormatting sqref="BE56:BE61">
    <cfRule type="cellIs" dxfId="4" priority="5" operator="notBetween">
      <formula>0.998</formula>
      <formula>1.002</formula>
    </cfRule>
  </conditionalFormatting>
  <conditionalFormatting sqref="BE63:BE68">
    <cfRule type="cellIs" dxfId="3" priority="4" operator="notBetween">
      <formula>0.998</formula>
      <formula>1.002</formula>
    </cfRule>
  </conditionalFormatting>
  <conditionalFormatting sqref="BE70:BE75">
    <cfRule type="cellIs" dxfId="2" priority="3" operator="notBetween">
      <formula>0.998</formula>
      <formula>1.002</formula>
    </cfRule>
  </conditionalFormatting>
  <conditionalFormatting sqref="BE77:BE82">
    <cfRule type="cellIs" dxfId="1" priority="2" operator="notBetween">
      <formula>0.998</formula>
      <formula>1.002</formula>
    </cfRule>
  </conditionalFormatting>
  <conditionalFormatting sqref="BE84:BE89">
    <cfRule type="cellIs" dxfId="0" priority="1" operator="notBetween">
      <formula>0.998</formula>
      <formula>1.002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EA50"/>
  <sheetViews>
    <sheetView topLeftCell="A18" workbookViewId="0">
      <selection activeCell="A43" sqref="A43"/>
    </sheetView>
  </sheetViews>
  <sheetFormatPr defaultColWidth="9.140625" defaultRowHeight="15" x14ac:dyDescent="0.25"/>
  <cols>
    <col min="1" max="1" width="27.5703125" style="435" customWidth="1"/>
    <col min="2" max="2" width="37.28515625" style="435" bestFit="1" customWidth="1"/>
    <col min="3" max="3" width="14.42578125" style="435" customWidth="1"/>
    <col min="4" max="4" width="13.7109375" style="435" customWidth="1"/>
    <col min="5" max="5" width="40.85546875" style="435" customWidth="1"/>
    <col min="6" max="14" width="11.28515625" style="435" customWidth="1"/>
    <col min="15" max="15" width="9.140625" style="435" customWidth="1"/>
    <col min="16" max="17" width="11.28515625" style="435" customWidth="1"/>
    <col min="18" max="33" width="11.28515625" style="435" bestFit="1" customWidth="1"/>
    <col min="34" max="129" width="11.28515625" bestFit="1" customWidth="1"/>
    <col min="130" max="131" width="8.85546875" customWidth="1"/>
    <col min="132" max="16384" width="9.140625" style="435"/>
  </cols>
  <sheetData>
    <row r="1" spans="1:33" x14ac:dyDescent="0.25">
      <c r="A1" s="434" t="s">
        <v>565</v>
      </c>
    </row>
    <row r="2" spans="1:33" x14ac:dyDescent="0.25">
      <c r="A2" s="434" t="s">
        <v>566</v>
      </c>
    </row>
    <row r="3" spans="1:33" x14ac:dyDescent="0.25">
      <c r="A3" s="436"/>
      <c r="B3" s="437"/>
      <c r="C3" s="438"/>
      <c r="D3" s="438"/>
      <c r="E3" s="438"/>
      <c r="F3" s="439">
        <v>2016</v>
      </c>
      <c r="G3" s="439">
        <v>2016</v>
      </c>
      <c r="H3" s="439">
        <v>2016</v>
      </c>
      <c r="I3" s="440">
        <v>2016</v>
      </c>
      <c r="J3" s="441">
        <v>2017</v>
      </c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1">
        <v>2018</v>
      </c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</row>
    <row r="4" spans="1:33" x14ac:dyDescent="0.25">
      <c r="A4" s="443" t="s">
        <v>567</v>
      </c>
      <c r="B4" s="444" t="s">
        <v>568</v>
      </c>
      <c r="C4" s="444"/>
      <c r="D4" s="444"/>
      <c r="E4" s="444" t="s">
        <v>569</v>
      </c>
      <c r="F4" s="444">
        <v>9</v>
      </c>
      <c r="G4" s="444">
        <v>10</v>
      </c>
      <c r="H4" s="444">
        <v>11</v>
      </c>
      <c r="I4" s="445">
        <v>12</v>
      </c>
      <c r="J4" s="444">
        <v>1</v>
      </c>
      <c r="K4" s="444">
        <v>2</v>
      </c>
      <c r="L4" s="444">
        <v>3</v>
      </c>
      <c r="M4" s="444">
        <v>4</v>
      </c>
      <c r="N4" s="444">
        <v>5</v>
      </c>
      <c r="O4" s="444">
        <v>6</v>
      </c>
      <c r="P4" s="444">
        <v>7</v>
      </c>
      <c r="Q4" s="444">
        <v>8</v>
      </c>
      <c r="R4" s="444">
        <v>9</v>
      </c>
      <c r="S4" s="444">
        <v>10</v>
      </c>
      <c r="T4" s="444">
        <v>11</v>
      </c>
      <c r="U4" s="444">
        <v>12</v>
      </c>
      <c r="V4" s="446">
        <v>1</v>
      </c>
      <c r="W4" s="444">
        <v>2</v>
      </c>
      <c r="X4" s="444">
        <v>3</v>
      </c>
      <c r="Y4" s="444">
        <v>4</v>
      </c>
      <c r="Z4" s="444">
        <v>5</v>
      </c>
      <c r="AA4" s="444">
        <v>6</v>
      </c>
      <c r="AB4" s="444">
        <v>7</v>
      </c>
      <c r="AC4" s="444">
        <v>8</v>
      </c>
      <c r="AD4" s="444">
        <v>9</v>
      </c>
      <c r="AE4" s="444">
        <v>10</v>
      </c>
      <c r="AF4" s="444">
        <v>11</v>
      </c>
      <c r="AG4" s="444">
        <v>12</v>
      </c>
    </row>
    <row r="5" spans="1:33" x14ac:dyDescent="0.25">
      <c r="A5" s="447" t="s">
        <v>15</v>
      </c>
      <c r="B5" s="303" t="s">
        <v>125</v>
      </c>
      <c r="C5" s="303"/>
      <c r="D5" s="303" t="s">
        <v>22</v>
      </c>
      <c r="E5" s="42" t="s">
        <v>23</v>
      </c>
      <c r="F5" s="448">
        <v>294038</v>
      </c>
      <c r="G5" s="448">
        <v>294363</v>
      </c>
      <c r="H5" s="448">
        <v>295026</v>
      </c>
      <c r="I5" s="449">
        <v>296103</v>
      </c>
      <c r="J5" s="448">
        <v>296660</v>
      </c>
      <c r="K5" s="448">
        <v>296902</v>
      </c>
      <c r="L5" s="448">
        <v>297166</v>
      </c>
      <c r="M5" s="448">
        <v>296546</v>
      </c>
      <c r="N5" s="448">
        <v>295996</v>
      </c>
      <c r="O5" s="448">
        <v>295913</v>
      </c>
      <c r="P5" s="448">
        <v>295517</v>
      </c>
      <c r="Q5" s="448">
        <v>295440</v>
      </c>
      <c r="R5" s="448">
        <v>295049</v>
      </c>
      <c r="S5" s="448">
        <v>295352</v>
      </c>
      <c r="T5" s="448">
        <v>295494</v>
      </c>
      <c r="U5" s="448">
        <v>296582</v>
      </c>
      <c r="V5" s="448">
        <v>297150</v>
      </c>
      <c r="W5" s="448">
        <v>297403</v>
      </c>
      <c r="X5" s="448">
        <v>297676</v>
      </c>
      <c r="Y5" s="448">
        <v>297064</v>
      </c>
      <c r="Z5" s="448">
        <v>296521</v>
      </c>
      <c r="AA5" s="448">
        <v>296445</v>
      </c>
      <c r="AB5" s="448">
        <v>296056</v>
      </c>
      <c r="AC5" s="448">
        <v>295986</v>
      </c>
      <c r="AD5" s="448">
        <v>295600</v>
      </c>
      <c r="AE5" s="448">
        <v>295908</v>
      </c>
      <c r="AF5" s="448">
        <v>296054</v>
      </c>
      <c r="AG5" s="448">
        <v>297145</v>
      </c>
    </row>
    <row r="6" spans="1:33" x14ac:dyDescent="0.25">
      <c r="A6" s="450" t="s">
        <v>15</v>
      </c>
      <c r="B6" s="303" t="s">
        <v>101</v>
      </c>
      <c r="C6" s="562" t="s">
        <v>443</v>
      </c>
      <c r="D6" s="480" t="s">
        <v>13</v>
      </c>
      <c r="E6" s="42" t="s">
        <v>14</v>
      </c>
      <c r="F6" s="448">
        <v>11</v>
      </c>
      <c r="G6" s="448">
        <v>11</v>
      </c>
      <c r="H6" s="448">
        <v>11</v>
      </c>
      <c r="I6" s="449">
        <v>11</v>
      </c>
      <c r="J6" s="448">
        <v>11</v>
      </c>
      <c r="K6" s="448">
        <v>11</v>
      </c>
      <c r="L6" s="448">
        <v>11</v>
      </c>
      <c r="M6" s="448">
        <v>11</v>
      </c>
      <c r="N6" s="448">
        <v>11</v>
      </c>
      <c r="O6" s="448">
        <v>11</v>
      </c>
      <c r="P6" s="448">
        <v>11</v>
      </c>
      <c r="Q6" s="448">
        <v>11</v>
      </c>
      <c r="R6" s="448">
        <v>11</v>
      </c>
      <c r="S6" s="448">
        <v>11</v>
      </c>
      <c r="T6" s="448">
        <v>11</v>
      </c>
      <c r="U6" s="448">
        <v>11</v>
      </c>
      <c r="V6" s="448">
        <v>11</v>
      </c>
      <c r="W6" s="448">
        <v>11</v>
      </c>
      <c r="X6" s="448">
        <v>11</v>
      </c>
      <c r="Y6" s="448">
        <v>11</v>
      </c>
      <c r="Z6" s="448">
        <v>11</v>
      </c>
      <c r="AA6" s="448">
        <v>11</v>
      </c>
      <c r="AB6" s="448">
        <v>11</v>
      </c>
      <c r="AC6" s="448">
        <v>11</v>
      </c>
      <c r="AD6" s="448">
        <v>11</v>
      </c>
      <c r="AE6" s="448">
        <v>11</v>
      </c>
      <c r="AF6" s="448">
        <v>11</v>
      </c>
      <c r="AG6" s="448">
        <v>11</v>
      </c>
    </row>
    <row r="7" spans="1:33" x14ac:dyDescent="0.25">
      <c r="A7" s="447" t="s">
        <v>570</v>
      </c>
      <c r="B7" s="451"/>
      <c r="C7" s="452"/>
      <c r="D7" s="452"/>
      <c r="E7" s="452"/>
      <c r="F7" s="453">
        <v>294049</v>
      </c>
      <c r="G7" s="453">
        <v>294374</v>
      </c>
      <c r="H7" s="453">
        <v>295037</v>
      </c>
      <c r="I7" s="454">
        <v>296114</v>
      </c>
      <c r="J7" s="453">
        <v>296671</v>
      </c>
      <c r="K7" s="453">
        <v>296913</v>
      </c>
      <c r="L7" s="453">
        <v>297177</v>
      </c>
      <c r="M7" s="453">
        <v>296557</v>
      </c>
      <c r="N7" s="453">
        <v>296007</v>
      </c>
      <c r="O7" s="453">
        <v>295924</v>
      </c>
      <c r="P7" s="453">
        <v>295528</v>
      </c>
      <c r="Q7" s="453">
        <v>295451</v>
      </c>
      <c r="R7" s="453">
        <v>295060</v>
      </c>
      <c r="S7" s="453">
        <v>295363</v>
      </c>
      <c r="T7" s="453">
        <v>295505</v>
      </c>
      <c r="U7" s="453">
        <v>296593</v>
      </c>
      <c r="V7" s="453">
        <v>297161</v>
      </c>
      <c r="W7" s="453">
        <v>297414</v>
      </c>
      <c r="X7" s="453">
        <v>297687</v>
      </c>
      <c r="Y7" s="453">
        <v>297075</v>
      </c>
      <c r="Z7" s="453">
        <v>296532</v>
      </c>
      <c r="AA7" s="453">
        <v>296456</v>
      </c>
      <c r="AB7" s="453">
        <v>296067</v>
      </c>
      <c r="AC7" s="453">
        <v>295997</v>
      </c>
      <c r="AD7" s="453">
        <v>295611</v>
      </c>
      <c r="AE7" s="453">
        <v>295919</v>
      </c>
      <c r="AF7" s="453">
        <v>296065</v>
      </c>
      <c r="AG7" s="453">
        <v>297156</v>
      </c>
    </row>
    <row r="8" spans="1:33" x14ac:dyDescent="0.25">
      <c r="A8" s="447" t="s">
        <v>4</v>
      </c>
      <c r="B8" s="451" t="s">
        <v>571</v>
      </c>
      <c r="C8" s="562"/>
      <c r="D8" s="303" t="s">
        <v>5</v>
      </c>
      <c r="E8" s="42" t="s">
        <v>6</v>
      </c>
      <c r="F8" s="448">
        <v>1</v>
      </c>
      <c r="G8" s="448">
        <v>1</v>
      </c>
      <c r="H8" s="448">
        <v>1</v>
      </c>
      <c r="I8" s="449">
        <v>1</v>
      </c>
      <c r="J8" s="448">
        <v>1</v>
      </c>
      <c r="K8" s="448">
        <v>1</v>
      </c>
      <c r="L8" s="448">
        <v>1</v>
      </c>
      <c r="M8" s="448">
        <v>1</v>
      </c>
      <c r="N8" s="448">
        <v>1</v>
      </c>
      <c r="O8" s="448">
        <v>1</v>
      </c>
      <c r="P8" s="448">
        <v>1</v>
      </c>
      <c r="Q8" s="448">
        <v>1</v>
      </c>
      <c r="R8" s="448">
        <v>1</v>
      </c>
      <c r="S8" s="448">
        <v>1</v>
      </c>
      <c r="T8" s="448">
        <v>1</v>
      </c>
      <c r="U8" s="448">
        <v>1</v>
      </c>
      <c r="V8" s="455">
        <v>1</v>
      </c>
      <c r="W8" s="448">
        <v>1</v>
      </c>
      <c r="X8" s="448">
        <v>1</v>
      </c>
      <c r="Y8" s="448">
        <v>1</v>
      </c>
      <c r="Z8" s="448">
        <v>1</v>
      </c>
      <c r="AA8" s="448">
        <v>1</v>
      </c>
      <c r="AB8" s="448">
        <v>1</v>
      </c>
      <c r="AC8" s="448">
        <v>1</v>
      </c>
      <c r="AD8" s="448">
        <v>1</v>
      </c>
      <c r="AE8" s="448">
        <v>1</v>
      </c>
      <c r="AF8" s="448">
        <v>1</v>
      </c>
      <c r="AG8" s="448">
        <v>1</v>
      </c>
    </row>
    <row r="9" spans="1:33" x14ac:dyDescent="0.25">
      <c r="A9" s="450" t="s">
        <v>4</v>
      </c>
      <c r="B9" s="303" t="s">
        <v>111</v>
      </c>
      <c r="C9" s="562" t="s">
        <v>443</v>
      </c>
      <c r="D9" s="303" t="s">
        <v>18</v>
      </c>
      <c r="E9" s="42" t="s">
        <v>19</v>
      </c>
      <c r="F9" s="448">
        <v>6</v>
      </c>
      <c r="G9" s="448">
        <v>6</v>
      </c>
      <c r="H9" s="448">
        <v>6</v>
      </c>
      <c r="I9" s="449">
        <v>6</v>
      </c>
      <c r="J9" s="448">
        <v>6</v>
      </c>
      <c r="K9" s="448">
        <v>6</v>
      </c>
      <c r="L9" s="448">
        <v>6</v>
      </c>
      <c r="M9" s="448">
        <v>6</v>
      </c>
      <c r="N9" s="448">
        <v>6</v>
      </c>
      <c r="O9" s="448">
        <v>6</v>
      </c>
      <c r="P9" s="448">
        <v>6</v>
      </c>
      <c r="Q9" s="448">
        <v>6</v>
      </c>
      <c r="R9" s="448">
        <v>6</v>
      </c>
      <c r="S9" s="448">
        <v>6</v>
      </c>
      <c r="T9" s="448">
        <v>6</v>
      </c>
      <c r="U9" s="448">
        <v>6</v>
      </c>
      <c r="V9" s="455">
        <v>6</v>
      </c>
      <c r="W9" s="448">
        <v>6</v>
      </c>
      <c r="X9" s="448">
        <v>6</v>
      </c>
      <c r="Y9" s="448">
        <v>6</v>
      </c>
      <c r="Z9" s="448">
        <v>6</v>
      </c>
      <c r="AA9" s="448">
        <v>6</v>
      </c>
      <c r="AB9" s="448">
        <v>6</v>
      </c>
      <c r="AC9" s="448">
        <v>6</v>
      </c>
      <c r="AD9" s="448">
        <v>6</v>
      </c>
      <c r="AE9" s="448">
        <v>6</v>
      </c>
      <c r="AF9" s="448">
        <v>6</v>
      </c>
      <c r="AG9" s="448">
        <v>6</v>
      </c>
    </row>
    <row r="10" spans="1:33" x14ac:dyDescent="0.25">
      <c r="A10" s="450" t="s">
        <v>4</v>
      </c>
      <c r="B10" s="303" t="s">
        <v>125</v>
      </c>
      <c r="C10" s="562"/>
      <c r="D10" s="303" t="s">
        <v>22</v>
      </c>
      <c r="E10" s="42" t="s">
        <v>23</v>
      </c>
      <c r="F10" s="448">
        <v>13</v>
      </c>
      <c r="G10" s="448">
        <v>13</v>
      </c>
      <c r="H10" s="448">
        <v>13</v>
      </c>
      <c r="I10" s="449">
        <v>13</v>
      </c>
      <c r="J10" s="448">
        <v>13</v>
      </c>
      <c r="K10" s="448">
        <v>13</v>
      </c>
      <c r="L10" s="448">
        <v>13</v>
      </c>
      <c r="M10" s="448">
        <v>13</v>
      </c>
      <c r="N10" s="448">
        <v>13</v>
      </c>
      <c r="O10" s="448">
        <v>13</v>
      </c>
      <c r="P10" s="448">
        <v>13</v>
      </c>
      <c r="Q10" s="448">
        <v>13</v>
      </c>
      <c r="R10" s="448">
        <v>13</v>
      </c>
      <c r="S10" s="448">
        <v>13</v>
      </c>
      <c r="T10" s="448">
        <v>13</v>
      </c>
      <c r="U10" s="448">
        <v>13</v>
      </c>
      <c r="V10" s="455">
        <v>13</v>
      </c>
      <c r="W10" s="448">
        <v>13</v>
      </c>
      <c r="X10" s="448">
        <v>13</v>
      </c>
      <c r="Y10" s="448">
        <v>13</v>
      </c>
      <c r="Z10" s="448">
        <v>13</v>
      </c>
      <c r="AA10" s="448">
        <v>13</v>
      </c>
      <c r="AB10" s="448">
        <v>13</v>
      </c>
      <c r="AC10" s="448">
        <v>13</v>
      </c>
      <c r="AD10" s="448">
        <v>13</v>
      </c>
      <c r="AE10" s="448">
        <v>13</v>
      </c>
      <c r="AF10" s="448">
        <v>13</v>
      </c>
      <c r="AG10" s="448">
        <v>13</v>
      </c>
    </row>
    <row r="11" spans="1:33" x14ac:dyDescent="0.25">
      <c r="A11" s="456" t="s">
        <v>4</v>
      </c>
      <c r="B11" s="303" t="s">
        <v>572</v>
      </c>
      <c r="C11" s="563" t="s">
        <v>443</v>
      </c>
      <c r="D11" s="303" t="s">
        <v>13</v>
      </c>
      <c r="E11" s="42" t="s">
        <v>14</v>
      </c>
      <c r="F11" s="448">
        <v>22701</v>
      </c>
      <c r="G11" s="448">
        <v>22767</v>
      </c>
      <c r="H11" s="448">
        <v>22938</v>
      </c>
      <c r="I11" s="449">
        <v>23116</v>
      </c>
      <c r="J11" s="448">
        <v>23195</v>
      </c>
      <c r="K11" s="448">
        <v>23204</v>
      </c>
      <c r="L11" s="448">
        <v>23187</v>
      </c>
      <c r="M11" s="448">
        <v>23066</v>
      </c>
      <c r="N11" s="448">
        <v>22883</v>
      </c>
      <c r="O11" s="448">
        <v>22728</v>
      </c>
      <c r="P11" s="448">
        <v>22606</v>
      </c>
      <c r="Q11" s="448">
        <v>22620</v>
      </c>
      <c r="R11" s="448">
        <v>22630</v>
      </c>
      <c r="S11" s="448">
        <v>22698</v>
      </c>
      <c r="T11" s="448">
        <v>22871</v>
      </c>
      <c r="U11" s="448">
        <v>23050</v>
      </c>
      <c r="V11" s="455">
        <v>23130</v>
      </c>
      <c r="W11" s="448">
        <v>23141</v>
      </c>
      <c r="X11" s="448">
        <v>23125</v>
      </c>
      <c r="Y11" s="448">
        <v>23005</v>
      </c>
      <c r="Z11" s="448">
        <v>22824</v>
      </c>
      <c r="AA11" s="448">
        <v>22670</v>
      </c>
      <c r="AB11" s="448">
        <v>22549</v>
      </c>
      <c r="AC11" s="448">
        <v>22565</v>
      </c>
      <c r="AD11" s="448">
        <v>22576</v>
      </c>
      <c r="AE11" s="448">
        <v>22645</v>
      </c>
      <c r="AF11" s="448">
        <v>22819</v>
      </c>
      <c r="AG11" s="448">
        <v>23000</v>
      </c>
    </row>
    <row r="12" spans="1:33" x14ac:dyDescent="0.25">
      <c r="A12" s="456" t="s">
        <v>4</v>
      </c>
      <c r="B12" s="456" t="s">
        <v>573</v>
      </c>
      <c r="C12" s="564" t="s">
        <v>444</v>
      </c>
      <c r="D12" s="480" t="s">
        <v>13</v>
      </c>
      <c r="E12" s="42" t="s">
        <v>14</v>
      </c>
      <c r="F12" s="448">
        <v>946</v>
      </c>
      <c r="G12" s="448">
        <v>949</v>
      </c>
      <c r="H12" s="448">
        <v>956</v>
      </c>
      <c r="I12" s="449">
        <v>963</v>
      </c>
      <c r="J12" s="448">
        <v>966</v>
      </c>
      <c r="K12" s="448">
        <v>967</v>
      </c>
      <c r="L12" s="448">
        <v>966</v>
      </c>
      <c r="M12" s="448">
        <v>961</v>
      </c>
      <c r="N12" s="448">
        <v>953</v>
      </c>
      <c r="O12" s="448">
        <v>947</v>
      </c>
      <c r="P12" s="448">
        <v>942</v>
      </c>
      <c r="Q12" s="448">
        <v>943</v>
      </c>
      <c r="R12" s="448">
        <v>943</v>
      </c>
      <c r="S12" s="448">
        <v>946</v>
      </c>
      <c r="T12" s="448">
        <v>953</v>
      </c>
      <c r="U12" s="448">
        <v>960</v>
      </c>
      <c r="V12" s="455">
        <v>964</v>
      </c>
      <c r="W12" s="448">
        <v>964</v>
      </c>
      <c r="X12" s="448">
        <v>964</v>
      </c>
      <c r="Y12" s="448">
        <v>959</v>
      </c>
      <c r="Z12" s="448">
        <v>951</v>
      </c>
      <c r="AA12" s="448">
        <v>945</v>
      </c>
      <c r="AB12" s="448">
        <v>940</v>
      </c>
      <c r="AC12" s="448">
        <v>940</v>
      </c>
      <c r="AD12" s="448">
        <v>941</v>
      </c>
      <c r="AE12" s="448">
        <v>944</v>
      </c>
      <c r="AF12" s="448">
        <v>951</v>
      </c>
      <c r="AG12" s="448">
        <v>958</v>
      </c>
    </row>
    <row r="13" spans="1:33" x14ac:dyDescent="0.25">
      <c r="A13" s="447" t="s">
        <v>574</v>
      </c>
      <c r="B13" s="451"/>
      <c r="C13" s="452"/>
      <c r="D13" s="452"/>
      <c r="E13" s="452"/>
      <c r="F13" s="453">
        <v>23667</v>
      </c>
      <c r="G13" s="453">
        <v>23736</v>
      </c>
      <c r="H13" s="453">
        <v>23914</v>
      </c>
      <c r="I13" s="454">
        <v>24099</v>
      </c>
      <c r="J13" s="453">
        <v>24181</v>
      </c>
      <c r="K13" s="453">
        <v>24191</v>
      </c>
      <c r="L13" s="453">
        <v>24173</v>
      </c>
      <c r="M13" s="453">
        <v>24047</v>
      </c>
      <c r="N13" s="453">
        <v>23856</v>
      </c>
      <c r="O13" s="453">
        <v>23695</v>
      </c>
      <c r="P13" s="453">
        <v>23568</v>
      </c>
      <c r="Q13" s="453">
        <v>23583</v>
      </c>
      <c r="R13" s="453">
        <v>23593</v>
      </c>
      <c r="S13" s="453">
        <v>23664</v>
      </c>
      <c r="T13" s="453">
        <v>23844</v>
      </c>
      <c r="U13" s="453">
        <v>24030</v>
      </c>
      <c r="V13" s="453">
        <v>24114</v>
      </c>
      <c r="W13" s="453">
        <v>24125</v>
      </c>
      <c r="X13" s="453">
        <v>24109</v>
      </c>
      <c r="Y13" s="453">
        <v>23984</v>
      </c>
      <c r="Z13" s="453">
        <v>23795</v>
      </c>
      <c r="AA13" s="453">
        <v>23635</v>
      </c>
      <c r="AB13" s="453">
        <v>23509</v>
      </c>
      <c r="AC13" s="453">
        <v>23525</v>
      </c>
      <c r="AD13" s="453">
        <v>23537</v>
      </c>
      <c r="AE13" s="453">
        <v>23609</v>
      </c>
      <c r="AF13" s="453">
        <v>23790</v>
      </c>
      <c r="AG13" s="453">
        <v>23978</v>
      </c>
    </row>
    <row r="14" spans="1:33" x14ac:dyDescent="0.25">
      <c r="A14" s="447" t="s">
        <v>8</v>
      </c>
      <c r="B14" s="447" t="s">
        <v>575</v>
      </c>
      <c r="C14" s="303"/>
      <c r="D14" s="303" t="s">
        <v>5</v>
      </c>
      <c r="E14" s="42" t="s">
        <v>10</v>
      </c>
      <c r="F14" s="448">
        <v>1</v>
      </c>
      <c r="G14" s="448">
        <v>1</v>
      </c>
      <c r="H14" s="448">
        <v>1</v>
      </c>
      <c r="I14" s="449">
        <v>1</v>
      </c>
      <c r="J14" s="448">
        <v>1</v>
      </c>
      <c r="K14" s="448">
        <v>1</v>
      </c>
      <c r="L14" s="448">
        <v>1</v>
      </c>
      <c r="M14" s="448">
        <v>1</v>
      </c>
      <c r="N14" s="448">
        <v>1</v>
      </c>
      <c r="O14" s="448">
        <v>1</v>
      </c>
      <c r="P14" s="448">
        <v>1</v>
      </c>
      <c r="Q14" s="448">
        <v>1</v>
      </c>
      <c r="R14" s="448">
        <v>1</v>
      </c>
      <c r="S14" s="448">
        <v>1</v>
      </c>
      <c r="T14" s="448">
        <v>1</v>
      </c>
      <c r="U14" s="448">
        <v>1</v>
      </c>
      <c r="V14" s="455">
        <v>1</v>
      </c>
      <c r="W14" s="448">
        <v>1</v>
      </c>
      <c r="X14" s="448">
        <v>1</v>
      </c>
      <c r="Y14" s="448">
        <v>1</v>
      </c>
      <c r="Z14" s="448">
        <v>1</v>
      </c>
      <c r="AA14" s="448">
        <v>1</v>
      </c>
      <c r="AB14" s="448">
        <v>1</v>
      </c>
      <c r="AC14" s="448">
        <v>1</v>
      </c>
      <c r="AD14" s="448">
        <v>1</v>
      </c>
      <c r="AE14" s="448">
        <v>1</v>
      </c>
      <c r="AF14" s="448">
        <v>1</v>
      </c>
      <c r="AG14" s="448">
        <v>1</v>
      </c>
    </row>
    <row r="15" spans="1:33" x14ac:dyDescent="0.25">
      <c r="A15" s="456" t="s">
        <v>8</v>
      </c>
      <c r="B15" s="303" t="s">
        <v>576</v>
      </c>
      <c r="C15" s="563" t="s">
        <v>443</v>
      </c>
      <c r="D15" s="303" t="s">
        <v>18</v>
      </c>
      <c r="E15" s="303" t="s">
        <v>19</v>
      </c>
      <c r="F15" s="448">
        <v>134</v>
      </c>
      <c r="G15" s="448">
        <v>134</v>
      </c>
      <c r="H15" s="448">
        <v>134</v>
      </c>
      <c r="I15" s="449">
        <v>135</v>
      </c>
      <c r="J15" s="448">
        <v>135</v>
      </c>
      <c r="K15" s="448">
        <v>135</v>
      </c>
      <c r="L15" s="448">
        <v>135</v>
      </c>
      <c r="M15" s="448">
        <v>136</v>
      </c>
      <c r="N15" s="448">
        <v>136</v>
      </c>
      <c r="O15" s="448">
        <v>136</v>
      </c>
      <c r="P15" s="448">
        <v>136</v>
      </c>
      <c r="Q15" s="448">
        <v>137</v>
      </c>
      <c r="R15" s="448">
        <v>137</v>
      </c>
      <c r="S15" s="448">
        <v>137</v>
      </c>
      <c r="T15" s="448">
        <v>137</v>
      </c>
      <c r="U15" s="448">
        <v>138</v>
      </c>
      <c r="V15" s="455">
        <v>138</v>
      </c>
      <c r="W15" s="448">
        <v>138</v>
      </c>
      <c r="X15" s="448">
        <v>138</v>
      </c>
      <c r="Y15" s="448">
        <v>139</v>
      </c>
      <c r="Z15" s="448">
        <v>139</v>
      </c>
      <c r="AA15" s="448">
        <v>139</v>
      </c>
      <c r="AB15" s="448">
        <v>139</v>
      </c>
      <c r="AC15" s="448">
        <v>140</v>
      </c>
      <c r="AD15" s="448">
        <v>140</v>
      </c>
      <c r="AE15" s="448">
        <v>140</v>
      </c>
      <c r="AF15" s="448">
        <v>140</v>
      </c>
      <c r="AG15" s="448">
        <v>141</v>
      </c>
    </row>
    <row r="16" spans="1:33" x14ac:dyDescent="0.25">
      <c r="A16" s="456" t="s">
        <v>8</v>
      </c>
      <c r="B16" s="303" t="s">
        <v>577</v>
      </c>
      <c r="C16" s="564" t="s">
        <v>444</v>
      </c>
      <c r="D16" s="480" t="s">
        <v>18</v>
      </c>
      <c r="E16" s="303" t="s">
        <v>19</v>
      </c>
      <c r="F16" s="448">
        <v>109</v>
      </c>
      <c r="G16" s="448">
        <v>110</v>
      </c>
      <c r="H16" s="448">
        <v>110</v>
      </c>
      <c r="I16" s="449">
        <v>110</v>
      </c>
      <c r="J16" s="448">
        <v>110</v>
      </c>
      <c r="K16" s="448">
        <v>111</v>
      </c>
      <c r="L16" s="448">
        <v>111</v>
      </c>
      <c r="M16" s="448">
        <v>111</v>
      </c>
      <c r="N16" s="448">
        <v>111</v>
      </c>
      <c r="O16" s="448">
        <v>111</v>
      </c>
      <c r="P16" s="448">
        <v>111</v>
      </c>
      <c r="Q16" s="448">
        <v>112</v>
      </c>
      <c r="R16" s="448">
        <v>112</v>
      </c>
      <c r="S16" s="448">
        <v>112</v>
      </c>
      <c r="T16" s="448">
        <v>112</v>
      </c>
      <c r="U16" s="448">
        <v>113</v>
      </c>
      <c r="V16" s="455">
        <v>113</v>
      </c>
      <c r="W16" s="448">
        <v>113</v>
      </c>
      <c r="X16" s="448">
        <v>113</v>
      </c>
      <c r="Y16" s="448">
        <v>114</v>
      </c>
      <c r="Z16" s="448">
        <v>114</v>
      </c>
      <c r="AA16" s="448">
        <v>114</v>
      </c>
      <c r="AB16" s="448">
        <v>114</v>
      </c>
      <c r="AC16" s="448">
        <v>114</v>
      </c>
      <c r="AD16" s="448">
        <v>114</v>
      </c>
      <c r="AE16" s="448">
        <v>115</v>
      </c>
      <c r="AF16" s="448">
        <v>115</v>
      </c>
      <c r="AG16" s="448">
        <v>115</v>
      </c>
    </row>
    <row r="17" spans="1:131" x14ac:dyDescent="0.25">
      <c r="A17" s="447" t="s">
        <v>578</v>
      </c>
      <c r="B17" s="451"/>
      <c r="C17" s="452"/>
      <c r="D17" s="452"/>
      <c r="E17" s="452"/>
      <c r="F17" s="453">
        <v>244</v>
      </c>
      <c r="G17" s="453">
        <v>245</v>
      </c>
      <c r="H17" s="453">
        <v>245</v>
      </c>
      <c r="I17" s="454">
        <v>246</v>
      </c>
      <c r="J17" s="457">
        <v>246</v>
      </c>
      <c r="K17" s="457">
        <v>247</v>
      </c>
      <c r="L17" s="457">
        <v>247</v>
      </c>
      <c r="M17" s="457">
        <v>248</v>
      </c>
      <c r="N17" s="457">
        <v>248</v>
      </c>
      <c r="O17" s="457">
        <v>248</v>
      </c>
      <c r="P17" s="457">
        <v>248</v>
      </c>
      <c r="Q17" s="457">
        <v>250</v>
      </c>
      <c r="R17" s="457">
        <v>250</v>
      </c>
      <c r="S17" s="457">
        <v>250</v>
      </c>
      <c r="T17" s="457">
        <v>250</v>
      </c>
      <c r="U17" s="457">
        <v>252</v>
      </c>
      <c r="V17" s="458">
        <v>252</v>
      </c>
      <c r="W17" s="457">
        <v>252</v>
      </c>
      <c r="X17" s="457">
        <v>252</v>
      </c>
      <c r="Y17" s="457">
        <v>254</v>
      </c>
      <c r="Z17" s="457">
        <v>254</v>
      </c>
      <c r="AA17" s="457">
        <v>254</v>
      </c>
      <c r="AB17" s="457">
        <v>254</v>
      </c>
      <c r="AC17" s="457">
        <v>255</v>
      </c>
      <c r="AD17" s="457">
        <v>255</v>
      </c>
      <c r="AE17" s="457">
        <v>256</v>
      </c>
      <c r="AF17" s="457">
        <v>256</v>
      </c>
      <c r="AG17" s="457">
        <v>257</v>
      </c>
    </row>
    <row r="18" spans="1:131" x14ac:dyDescent="0.25">
      <c r="A18" s="447" t="s">
        <v>7</v>
      </c>
      <c r="B18" s="451" t="s">
        <v>571</v>
      </c>
      <c r="C18" s="562"/>
      <c r="D18" s="303" t="s">
        <v>5</v>
      </c>
      <c r="E18" s="42" t="s">
        <v>6</v>
      </c>
      <c r="F18" s="457">
        <v>1</v>
      </c>
      <c r="G18" s="457">
        <v>1</v>
      </c>
      <c r="H18" s="457">
        <v>1</v>
      </c>
      <c r="I18" s="459">
        <v>1</v>
      </c>
      <c r="J18" s="457">
        <v>1</v>
      </c>
      <c r="K18" s="457">
        <v>1</v>
      </c>
      <c r="L18" s="457">
        <v>1</v>
      </c>
      <c r="M18" s="457">
        <v>1</v>
      </c>
      <c r="N18" s="457">
        <v>1</v>
      </c>
      <c r="O18" s="457">
        <v>1</v>
      </c>
      <c r="P18" s="457">
        <v>1</v>
      </c>
      <c r="Q18" s="457">
        <v>1</v>
      </c>
      <c r="R18" s="457">
        <v>1</v>
      </c>
      <c r="S18" s="457">
        <v>1</v>
      </c>
      <c r="T18" s="457">
        <v>1</v>
      </c>
      <c r="U18" s="457">
        <v>1</v>
      </c>
      <c r="V18" s="458">
        <v>1</v>
      </c>
      <c r="W18" s="457">
        <v>1</v>
      </c>
      <c r="X18" s="457">
        <v>1</v>
      </c>
      <c r="Y18" s="457">
        <v>1</v>
      </c>
      <c r="Z18" s="457">
        <v>1</v>
      </c>
      <c r="AA18" s="457">
        <v>1</v>
      </c>
      <c r="AB18" s="457">
        <v>1</v>
      </c>
      <c r="AC18" s="457">
        <v>1</v>
      </c>
      <c r="AD18" s="457">
        <v>1</v>
      </c>
      <c r="AE18" s="457">
        <v>1</v>
      </c>
      <c r="AF18" s="457">
        <v>1</v>
      </c>
      <c r="AG18" s="457">
        <v>1</v>
      </c>
    </row>
    <row r="19" spans="1:131" x14ac:dyDescent="0.25">
      <c r="A19" s="450" t="s">
        <v>7</v>
      </c>
      <c r="B19" s="303" t="s">
        <v>575</v>
      </c>
      <c r="C19" s="562"/>
      <c r="D19" s="303" t="s">
        <v>5</v>
      </c>
      <c r="E19" s="42" t="s">
        <v>10</v>
      </c>
      <c r="F19" s="448">
        <v>1</v>
      </c>
      <c r="G19" s="448">
        <v>1</v>
      </c>
      <c r="H19" s="448">
        <v>1</v>
      </c>
      <c r="I19" s="449">
        <v>1</v>
      </c>
      <c r="J19" s="448">
        <v>1</v>
      </c>
      <c r="K19" s="448">
        <v>1</v>
      </c>
      <c r="L19" s="448">
        <v>1</v>
      </c>
      <c r="M19" s="448">
        <v>1</v>
      </c>
      <c r="N19" s="448">
        <v>1</v>
      </c>
      <c r="O19" s="448">
        <v>1</v>
      </c>
      <c r="P19" s="448">
        <v>1</v>
      </c>
      <c r="Q19" s="448">
        <v>1</v>
      </c>
      <c r="R19" s="448">
        <v>1</v>
      </c>
      <c r="S19" s="448">
        <v>1</v>
      </c>
      <c r="T19" s="448">
        <v>1</v>
      </c>
      <c r="U19" s="448">
        <v>1</v>
      </c>
      <c r="V19" s="455">
        <v>1</v>
      </c>
      <c r="W19" s="448">
        <v>1</v>
      </c>
      <c r="X19" s="448">
        <v>1</v>
      </c>
      <c r="Y19" s="448">
        <v>1</v>
      </c>
      <c r="Z19" s="448">
        <v>1</v>
      </c>
      <c r="AA19" s="448">
        <v>1</v>
      </c>
      <c r="AB19" s="448">
        <v>1</v>
      </c>
      <c r="AC19" s="448">
        <v>1</v>
      </c>
      <c r="AD19" s="448">
        <v>1</v>
      </c>
      <c r="AE19" s="448">
        <v>1</v>
      </c>
      <c r="AF19" s="448">
        <v>1</v>
      </c>
      <c r="AG19" s="448">
        <v>1</v>
      </c>
    </row>
    <row r="20" spans="1:131" x14ac:dyDescent="0.25">
      <c r="A20" s="450" t="s">
        <v>7</v>
      </c>
      <c r="B20" s="303" t="s">
        <v>125</v>
      </c>
      <c r="C20" s="562"/>
      <c r="D20" s="303" t="s">
        <v>22</v>
      </c>
      <c r="E20" s="303" t="s">
        <v>23</v>
      </c>
      <c r="F20" s="448">
        <v>55</v>
      </c>
      <c r="G20" s="448">
        <v>55</v>
      </c>
      <c r="H20" s="448">
        <v>55</v>
      </c>
      <c r="I20" s="449">
        <v>55</v>
      </c>
      <c r="J20" s="448">
        <v>55</v>
      </c>
      <c r="K20" s="448">
        <v>55</v>
      </c>
      <c r="L20" s="448">
        <v>55</v>
      </c>
      <c r="M20" s="448">
        <v>55</v>
      </c>
      <c r="N20" s="448">
        <v>55</v>
      </c>
      <c r="O20" s="448">
        <v>55</v>
      </c>
      <c r="P20" s="448">
        <v>55</v>
      </c>
      <c r="Q20" s="448">
        <v>55</v>
      </c>
      <c r="R20" s="448">
        <v>55</v>
      </c>
      <c r="S20" s="448">
        <v>55</v>
      </c>
      <c r="T20" s="448">
        <v>55</v>
      </c>
      <c r="U20" s="448">
        <v>55</v>
      </c>
      <c r="V20" s="455">
        <v>55</v>
      </c>
      <c r="W20" s="448">
        <v>56</v>
      </c>
      <c r="X20" s="448">
        <v>56</v>
      </c>
      <c r="Y20" s="448">
        <v>55</v>
      </c>
      <c r="Z20" s="448">
        <v>55</v>
      </c>
      <c r="AA20" s="448">
        <v>55</v>
      </c>
      <c r="AB20" s="448">
        <v>55</v>
      </c>
      <c r="AC20" s="448">
        <v>55</v>
      </c>
      <c r="AD20" s="448">
        <v>55</v>
      </c>
      <c r="AE20" s="448">
        <v>55</v>
      </c>
      <c r="AF20" s="448">
        <v>55</v>
      </c>
      <c r="AG20" s="448">
        <v>55</v>
      </c>
    </row>
    <row r="21" spans="1:131" x14ac:dyDescent="0.25">
      <c r="A21" s="450" t="s">
        <v>7</v>
      </c>
      <c r="B21" s="303" t="s">
        <v>572</v>
      </c>
      <c r="C21" s="563" t="s">
        <v>443</v>
      </c>
      <c r="D21" s="303" t="s">
        <v>13</v>
      </c>
      <c r="E21" s="42" t="s">
        <v>14</v>
      </c>
      <c r="F21" s="448">
        <v>1066</v>
      </c>
      <c r="G21" s="448">
        <v>1070</v>
      </c>
      <c r="H21" s="448">
        <v>1078</v>
      </c>
      <c r="I21" s="449">
        <v>1086</v>
      </c>
      <c r="J21" s="448">
        <v>1090</v>
      </c>
      <c r="K21" s="448">
        <v>1090</v>
      </c>
      <c r="L21" s="448">
        <v>1089</v>
      </c>
      <c r="M21" s="448">
        <v>1084</v>
      </c>
      <c r="N21" s="448">
        <v>1075</v>
      </c>
      <c r="O21" s="448">
        <v>1068</v>
      </c>
      <c r="P21" s="448">
        <v>1062</v>
      </c>
      <c r="Q21" s="448">
        <v>1063</v>
      </c>
      <c r="R21" s="448">
        <v>1063</v>
      </c>
      <c r="S21" s="448">
        <v>1066</v>
      </c>
      <c r="T21" s="448">
        <v>1074</v>
      </c>
      <c r="U21" s="448">
        <v>1083</v>
      </c>
      <c r="V21" s="455">
        <v>1087</v>
      </c>
      <c r="W21" s="448">
        <v>1087</v>
      </c>
      <c r="X21" s="448">
        <v>1086</v>
      </c>
      <c r="Y21" s="448">
        <v>1081</v>
      </c>
      <c r="Z21" s="448">
        <v>1072</v>
      </c>
      <c r="AA21" s="448">
        <v>1065</v>
      </c>
      <c r="AB21" s="448">
        <v>1059</v>
      </c>
      <c r="AC21" s="448">
        <v>1060</v>
      </c>
      <c r="AD21" s="448">
        <v>1061</v>
      </c>
      <c r="AE21" s="448">
        <v>1064</v>
      </c>
      <c r="AF21" s="448">
        <v>1072</v>
      </c>
      <c r="AG21" s="448">
        <v>1080</v>
      </c>
    </row>
    <row r="22" spans="1:131" x14ac:dyDescent="0.25">
      <c r="A22" s="450" t="s">
        <v>7</v>
      </c>
      <c r="B22" s="303" t="s">
        <v>573</v>
      </c>
      <c r="C22" s="563" t="s">
        <v>444</v>
      </c>
      <c r="D22" s="303" t="s">
        <v>13</v>
      </c>
      <c r="E22" s="42" t="s">
        <v>14</v>
      </c>
      <c r="F22" s="448">
        <v>44</v>
      </c>
      <c r="G22" s="448">
        <v>45</v>
      </c>
      <c r="H22" s="448">
        <v>45</v>
      </c>
      <c r="I22" s="449">
        <v>45</v>
      </c>
      <c r="J22" s="448">
        <v>45</v>
      </c>
      <c r="K22" s="448">
        <v>45</v>
      </c>
      <c r="L22" s="448">
        <v>45</v>
      </c>
      <c r="M22" s="448">
        <v>45</v>
      </c>
      <c r="N22" s="448">
        <v>45</v>
      </c>
      <c r="O22" s="448">
        <v>44</v>
      </c>
      <c r="P22" s="448">
        <v>44</v>
      </c>
      <c r="Q22" s="448">
        <v>44</v>
      </c>
      <c r="R22" s="448">
        <v>44</v>
      </c>
      <c r="S22" s="448">
        <v>44</v>
      </c>
      <c r="T22" s="448">
        <v>45</v>
      </c>
      <c r="U22" s="448">
        <v>45</v>
      </c>
      <c r="V22" s="455">
        <v>45</v>
      </c>
      <c r="W22" s="448">
        <v>45</v>
      </c>
      <c r="X22" s="448">
        <v>45</v>
      </c>
      <c r="Y22" s="448">
        <v>45</v>
      </c>
      <c r="Z22" s="448">
        <v>45</v>
      </c>
      <c r="AA22" s="448">
        <v>44</v>
      </c>
      <c r="AB22" s="448">
        <v>44</v>
      </c>
      <c r="AC22" s="448">
        <v>44</v>
      </c>
      <c r="AD22" s="448">
        <v>44</v>
      </c>
      <c r="AE22" s="448">
        <v>44</v>
      </c>
      <c r="AF22" s="448">
        <v>45</v>
      </c>
      <c r="AG22" s="448">
        <v>45</v>
      </c>
    </row>
    <row r="23" spans="1:131" x14ac:dyDescent="0.25">
      <c r="A23" s="450" t="s">
        <v>7</v>
      </c>
      <c r="B23" s="303" t="s">
        <v>576</v>
      </c>
      <c r="C23" s="563" t="s">
        <v>443</v>
      </c>
      <c r="D23" s="303" t="s">
        <v>18</v>
      </c>
      <c r="E23" s="42" t="s">
        <v>19</v>
      </c>
      <c r="F23" s="448">
        <v>3</v>
      </c>
      <c r="G23" s="448">
        <v>3</v>
      </c>
      <c r="H23" s="448">
        <v>3</v>
      </c>
      <c r="I23" s="449">
        <v>3</v>
      </c>
      <c r="J23" s="448">
        <v>3</v>
      </c>
      <c r="K23" s="448">
        <v>3</v>
      </c>
      <c r="L23" s="448">
        <v>3</v>
      </c>
      <c r="M23" s="448">
        <v>3</v>
      </c>
      <c r="N23" s="448">
        <v>3</v>
      </c>
      <c r="O23" s="448">
        <v>3</v>
      </c>
      <c r="P23" s="448">
        <v>3</v>
      </c>
      <c r="Q23" s="448">
        <v>3</v>
      </c>
      <c r="R23" s="448">
        <v>3</v>
      </c>
      <c r="S23" s="448">
        <v>3</v>
      </c>
      <c r="T23" s="448">
        <v>3</v>
      </c>
      <c r="U23" s="448">
        <v>3</v>
      </c>
      <c r="V23" s="455">
        <v>3</v>
      </c>
      <c r="W23" s="448">
        <v>3</v>
      </c>
      <c r="X23" s="448">
        <v>3</v>
      </c>
      <c r="Y23" s="448">
        <v>3</v>
      </c>
      <c r="Z23" s="448">
        <v>3</v>
      </c>
      <c r="AA23" s="448">
        <v>3</v>
      </c>
      <c r="AB23" s="448">
        <v>3</v>
      </c>
      <c r="AC23" s="448">
        <v>3</v>
      </c>
      <c r="AD23" s="448">
        <v>3</v>
      </c>
      <c r="AE23" s="448">
        <v>3</v>
      </c>
      <c r="AF23" s="448">
        <v>3</v>
      </c>
      <c r="AG23" s="448">
        <v>3</v>
      </c>
    </row>
    <row r="24" spans="1:131" x14ac:dyDescent="0.25">
      <c r="A24" s="456" t="s">
        <v>7</v>
      </c>
      <c r="B24" s="456" t="s">
        <v>577</v>
      </c>
      <c r="C24" s="564" t="s">
        <v>444</v>
      </c>
      <c r="D24" s="480" t="s">
        <v>18</v>
      </c>
      <c r="E24" s="42" t="s">
        <v>19</v>
      </c>
      <c r="F24" s="448">
        <v>2</v>
      </c>
      <c r="G24" s="448">
        <v>2</v>
      </c>
      <c r="H24" s="448">
        <v>2</v>
      </c>
      <c r="I24" s="449">
        <v>2</v>
      </c>
      <c r="J24" s="448">
        <v>2</v>
      </c>
      <c r="K24" s="448">
        <v>2</v>
      </c>
      <c r="L24" s="448">
        <v>2</v>
      </c>
      <c r="M24" s="448">
        <v>2</v>
      </c>
      <c r="N24" s="448">
        <v>2</v>
      </c>
      <c r="O24" s="448">
        <v>2</v>
      </c>
      <c r="P24" s="448">
        <v>2</v>
      </c>
      <c r="Q24" s="448">
        <v>2</v>
      </c>
      <c r="R24" s="448">
        <v>2</v>
      </c>
      <c r="S24" s="448">
        <v>2</v>
      </c>
      <c r="T24" s="448">
        <v>2</v>
      </c>
      <c r="U24" s="448">
        <v>2</v>
      </c>
      <c r="V24" s="455">
        <v>2</v>
      </c>
      <c r="W24" s="448">
        <v>2</v>
      </c>
      <c r="X24" s="448">
        <v>2</v>
      </c>
      <c r="Y24" s="448">
        <v>2</v>
      </c>
      <c r="Z24" s="448">
        <v>2</v>
      </c>
      <c r="AA24" s="448">
        <v>2</v>
      </c>
      <c r="AB24" s="448">
        <v>2</v>
      </c>
      <c r="AC24" s="448">
        <v>2</v>
      </c>
      <c r="AD24" s="448">
        <v>2</v>
      </c>
      <c r="AE24" s="448">
        <v>2</v>
      </c>
      <c r="AF24" s="448">
        <v>2</v>
      </c>
      <c r="AG24" s="448">
        <v>2</v>
      </c>
    </row>
    <row r="25" spans="1:131" x14ac:dyDescent="0.25">
      <c r="A25" s="447" t="s">
        <v>579</v>
      </c>
      <c r="B25" s="451"/>
      <c r="C25" s="303"/>
      <c r="D25" s="303"/>
      <c r="E25" s="452"/>
      <c r="F25" s="453">
        <v>1172</v>
      </c>
      <c r="G25" s="453">
        <v>1177</v>
      </c>
      <c r="H25" s="453">
        <v>1185</v>
      </c>
      <c r="I25" s="454">
        <v>1193</v>
      </c>
      <c r="J25" s="453">
        <v>1197</v>
      </c>
      <c r="K25" s="453">
        <v>1197</v>
      </c>
      <c r="L25" s="453">
        <v>1196</v>
      </c>
      <c r="M25" s="453">
        <v>1191</v>
      </c>
      <c r="N25" s="453">
        <v>1182</v>
      </c>
      <c r="O25" s="453">
        <v>1174</v>
      </c>
      <c r="P25" s="453">
        <v>1168</v>
      </c>
      <c r="Q25" s="453">
        <v>1169</v>
      </c>
      <c r="R25" s="453">
        <v>1169</v>
      </c>
      <c r="S25" s="453">
        <v>1172</v>
      </c>
      <c r="T25" s="453">
        <v>1181</v>
      </c>
      <c r="U25" s="453">
        <v>1190</v>
      </c>
      <c r="V25" s="453">
        <v>1194</v>
      </c>
      <c r="W25" s="453">
        <v>1195</v>
      </c>
      <c r="X25" s="453">
        <v>1194</v>
      </c>
      <c r="Y25" s="453">
        <v>1188</v>
      </c>
      <c r="Z25" s="453">
        <v>1179</v>
      </c>
      <c r="AA25" s="453">
        <v>1171</v>
      </c>
      <c r="AB25" s="453">
        <v>1165</v>
      </c>
      <c r="AC25" s="453">
        <v>1166</v>
      </c>
      <c r="AD25" s="453">
        <v>1167</v>
      </c>
      <c r="AE25" s="453">
        <v>1170</v>
      </c>
      <c r="AF25" s="453">
        <v>1179</v>
      </c>
      <c r="AG25" s="453">
        <v>1187</v>
      </c>
    </row>
    <row r="26" spans="1:131" x14ac:dyDescent="0.25">
      <c r="A26" s="447" t="s">
        <v>418</v>
      </c>
      <c r="B26" s="447" t="s">
        <v>580</v>
      </c>
      <c r="C26" s="303"/>
      <c r="D26" s="462" t="s">
        <v>41</v>
      </c>
      <c r="E26" s="42" t="s">
        <v>44</v>
      </c>
      <c r="F26" s="448">
        <v>62</v>
      </c>
      <c r="G26" s="448">
        <v>62</v>
      </c>
      <c r="H26" s="448">
        <v>62</v>
      </c>
      <c r="I26" s="449">
        <v>62</v>
      </c>
      <c r="J26" s="448">
        <v>62</v>
      </c>
      <c r="K26" s="448">
        <v>62</v>
      </c>
      <c r="L26" s="448">
        <v>62</v>
      </c>
      <c r="M26" s="448">
        <v>62</v>
      </c>
      <c r="N26" s="448">
        <v>62</v>
      </c>
      <c r="O26" s="448">
        <v>62</v>
      </c>
      <c r="P26" s="448">
        <v>62</v>
      </c>
      <c r="Q26" s="448">
        <v>62</v>
      </c>
      <c r="R26" s="448">
        <v>62</v>
      </c>
      <c r="S26" s="448">
        <v>62</v>
      </c>
      <c r="T26" s="448">
        <v>62</v>
      </c>
      <c r="U26" s="448">
        <v>62</v>
      </c>
      <c r="V26" s="455">
        <v>62</v>
      </c>
      <c r="W26" s="448">
        <v>62</v>
      </c>
      <c r="X26" s="448">
        <v>62</v>
      </c>
      <c r="Y26" s="448">
        <v>62</v>
      </c>
      <c r="Z26" s="448">
        <v>62</v>
      </c>
      <c r="AA26" s="448">
        <v>62</v>
      </c>
      <c r="AB26" s="448">
        <v>62</v>
      </c>
      <c r="AC26" s="448">
        <v>62</v>
      </c>
      <c r="AD26" s="448">
        <v>62</v>
      </c>
      <c r="AE26" s="448">
        <v>62</v>
      </c>
      <c r="AF26" s="448">
        <v>62</v>
      </c>
      <c r="AG26" s="448">
        <v>62</v>
      </c>
    </row>
    <row r="27" spans="1:131" x14ac:dyDescent="0.25">
      <c r="A27" s="456" t="s">
        <v>418</v>
      </c>
      <c r="B27" s="303" t="s">
        <v>581</v>
      </c>
      <c r="C27" s="303"/>
      <c r="D27" s="303" t="s">
        <v>87</v>
      </c>
      <c r="E27" s="303" t="s">
        <v>442</v>
      </c>
      <c r="F27" s="448">
        <v>2</v>
      </c>
      <c r="G27" s="448">
        <v>2</v>
      </c>
      <c r="H27" s="448">
        <v>2</v>
      </c>
      <c r="I27" s="449">
        <v>2</v>
      </c>
      <c r="J27" s="448">
        <v>2</v>
      </c>
      <c r="K27" s="448">
        <v>2</v>
      </c>
      <c r="L27" s="448">
        <v>2</v>
      </c>
      <c r="M27" s="448">
        <v>2</v>
      </c>
      <c r="N27" s="448">
        <v>2</v>
      </c>
      <c r="O27" s="448">
        <v>2</v>
      </c>
      <c r="P27" s="448">
        <v>2</v>
      </c>
      <c r="Q27" s="448">
        <v>2</v>
      </c>
      <c r="R27" s="448">
        <v>2</v>
      </c>
      <c r="S27" s="448">
        <v>2</v>
      </c>
      <c r="T27" s="448">
        <v>2</v>
      </c>
      <c r="U27" s="448">
        <v>2</v>
      </c>
      <c r="V27" s="455">
        <v>2</v>
      </c>
      <c r="W27" s="448">
        <v>2</v>
      </c>
      <c r="X27" s="448">
        <v>2</v>
      </c>
      <c r="Y27" s="448">
        <v>2</v>
      </c>
      <c r="Z27" s="448">
        <v>2</v>
      </c>
      <c r="AA27" s="448">
        <v>2</v>
      </c>
      <c r="AB27" s="448">
        <v>2</v>
      </c>
      <c r="AC27" s="448">
        <v>2</v>
      </c>
      <c r="AD27" s="448">
        <v>2</v>
      </c>
      <c r="AE27" s="448">
        <v>2</v>
      </c>
      <c r="AF27" s="448">
        <v>2</v>
      </c>
      <c r="AG27" s="448">
        <v>2</v>
      </c>
    </row>
    <row r="28" spans="1:131" x14ac:dyDescent="0.25">
      <c r="A28" s="456" t="s">
        <v>418</v>
      </c>
      <c r="B28" s="303" t="s">
        <v>581</v>
      </c>
      <c r="C28" s="562" t="s">
        <v>444</v>
      </c>
      <c r="D28" s="303" t="s">
        <v>31</v>
      </c>
      <c r="E28" s="303" t="s">
        <v>425</v>
      </c>
      <c r="F28" s="448">
        <v>5</v>
      </c>
      <c r="G28" s="448">
        <v>5</v>
      </c>
      <c r="H28" s="448">
        <v>5</v>
      </c>
      <c r="I28" s="449">
        <v>5</v>
      </c>
      <c r="J28" s="448">
        <v>5</v>
      </c>
      <c r="K28" s="448">
        <v>5</v>
      </c>
      <c r="L28" s="448">
        <v>5</v>
      </c>
      <c r="M28" s="448">
        <v>5</v>
      </c>
      <c r="N28" s="448">
        <v>5</v>
      </c>
      <c r="O28" s="448">
        <v>5</v>
      </c>
      <c r="P28" s="448">
        <v>5</v>
      </c>
      <c r="Q28" s="448">
        <v>5</v>
      </c>
      <c r="R28" s="448">
        <v>5</v>
      </c>
      <c r="S28" s="448">
        <v>5</v>
      </c>
      <c r="T28" s="448">
        <v>5</v>
      </c>
      <c r="U28" s="448">
        <v>5</v>
      </c>
      <c r="V28" s="455">
        <v>5</v>
      </c>
      <c r="W28" s="448">
        <v>5</v>
      </c>
      <c r="X28" s="448">
        <v>5</v>
      </c>
      <c r="Y28" s="448">
        <v>5</v>
      </c>
      <c r="Z28" s="448">
        <v>5</v>
      </c>
      <c r="AA28" s="448">
        <v>5</v>
      </c>
      <c r="AB28" s="448">
        <v>5</v>
      </c>
      <c r="AC28" s="448">
        <v>5</v>
      </c>
      <c r="AD28" s="448">
        <v>5</v>
      </c>
      <c r="AE28" s="448">
        <v>5</v>
      </c>
      <c r="AF28" s="448">
        <v>5</v>
      </c>
      <c r="AG28" s="448">
        <v>5</v>
      </c>
    </row>
    <row r="29" spans="1:131" x14ac:dyDescent="0.25">
      <c r="A29" s="452" t="s">
        <v>582</v>
      </c>
      <c r="B29" s="439"/>
      <c r="C29" s="439"/>
      <c r="D29" s="439"/>
      <c r="E29" s="439"/>
      <c r="F29" s="453">
        <v>69</v>
      </c>
      <c r="G29" s="453">
        <v>69</v>
      </c>
      <c r="H29" s="453">
        <v>69</v>
      </c>
      <c r="I29" s="454">
        <v>69</v>
      </c>
      <c r="J29" s="453">
        <v>69</v>
      </c>
      <c r="K29" s="453">
        <v>69</v>
      </c>
      <c r="L29" s="453">
        <v>69</v>
      </c>
      <c r="M29" s="453">
        <v>69</v>
      </c>
      <c r="N29" s="453">
        <v>69</v>
      </c>
      <c r="O29" s="453">
        <v>69</v>
      </c>
      <c r="P29" s="453">
        <v>69</v>
      </c>
      <c r="Q29" s="453">
        <v>69</v>
      </c>
      <c r="R29" s="453">
        <v>69</v>
      </c>
      <c r="S29" s="453">
        <v>69</v>
      </c>
      <c r="T29" s="453">
        <v>69</v>
      </c>
      <c r="U29" s="453">
        <v>69</v>
      </c>
      <c r="V29" s="460">
        <v>69</v>
      </c>
      <c r="W29" s="453">
        <v>69</v>
      </c>
      <c r="X29" s="453">
        <v>69</v>
      </c>
      <c r="Y29" s="453">
        <v>69</v>
      </c>
      <c r="Z29" s="453">
        <v>69</v>
      </c>
      <c r="AA29" s="453">
        <v>69</v>
      </c>
      <c r="AB29" s="453">
        <v>69</v>
      </c>
      <c r="AC29" s="453">
        <v>69</v>
      </c>
      <c r="AD29" s="453">
        <v>69</v>
      </c>
      <c r="AE29" s="453">
        <v>69</v>
      </c>
      <c r="AF29" s="453">
        <v>69</v>
      </c>
      <c r="AG29" s="453">
        <v>69</v>
      </c>
    </row>
    <row r="30" spans="1:131" s="467" customFormat="1" x14ac:dyDescent="0.25">
      <c r="A30" s="461" t="s">
        <v>416</v>
      </c>
      <c r="B30" s="462" t="s">
        <v>583</v>
      </c>
      <c r="C30" s="462"/>
      <c r="D30" s="462" t="s">
        <v>41</v>
      </c>
      <c r="E30" s="463" t="s">
        <v>42</v>
      </c>
      <c r="F30" s="464">
        <v>8</v>
      </c>
      <c r="G30" s="464">
        <v>8</v>
      </c>
      <c r="H30" s="464">
        <v>8</v>
      </c>
      <c r="I30" s="465">
        <v>8</v>
      </c>
      <c r="J30" s="464">
        <v>8</v>
      </c>
      <c r="K30" s="464">
        <v>8</v>
      </c>
      <c r="L30" s="464">
        <v>8</v>
      </c>
      <c r="M30" s="464">
        <v>8</v>
      </c>
      <c r="N30" s="464">
        <v>8</v>
      </c>
      <c r="O30" s="464">
        <v>8</v>
      </c>
      <c r="P30" s="464">
        <v>8</v>
      </c>
      <c r="Q30" s="464">
        <v>8</v>
      </c>
      <c r="R30" s="464">
        <v>8</v>
      </c>
      <c r="S30" s="464">
        <v>8</v>
      </c>
      <c r="T30" s="464">
        <v>8</v>
      </c>
      <c r="U30" s="464">
        <v>8</v>
      </c>
      <c r="V30" s="466">
        <v>8</v>
      </c>
      <c r="W30" s="464">
        <v>8</v>
      </c>
      <c r="X30" s="464">
        <v>8</v>
      </c>
      <c r="Y30" s="464">
        <v>8</v>
      </c>
      <c r="Z30" s="464">
        <v>8</v>
      </c>
      <c r="AA30" s="464">
        <v>8</v>
      </c>
      <c r="AB30" s="464">
        <v>8</v>
      </c>
      <c r="AC30" s="464">
        <v>8</v>
      </c>
      <c r="AD30" s="464">
        <v>8</v>
      </c>
      <c r="AE30" s="464">
        <v>8</v>
      </c>
      <c r="AF30" s="464">
        <v>8</v>
      </c>
      <c r="AG30" s="464">
        <v>8</v>
      </c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</row>
    <row r="31" spans="1:131" s="467" customFormat="1" x14ac:dyDescent="0.25">
      <c r="A31" s="468" t="s">
        <v>584</v>
      </c>
      <c r="B31" s="469"/>
      <c r="C31" s="469"/>
      <c r="D31" s="469"/>
      <c r="E31" s="470"/>
      <c r="F31" s="471">
        <v>8</v>
      </c>
      <c r="G31" s="471">
        <v>8</v>
      </c>
      <c r="H31" s="471">
        <v>8</v>
      </c>
      <c r="I31" s="472">
        <v>8</v>
      </c>
      <c r="J31" s="471">
        <v>8</v>
      </c>
      <c r="K31" s="471">
        <v>8</v>
      </c>
      <c r="L31" s="471">
        <v>8</v>
      </c>
      <c r="M31" s="471">
        <v>8</v>
      </c>
      <c r="N31" s="471">
        <v>8</v>
      </c>
      <c r="O31" s="471">
        <v>8</v>
      </c>
      <c r="P31" s="471">
        <v>8</v>
      </c>
      <c r="Q31" s="471">
        <v>8</v>
      </c>
      <c r="R31" s="471">
        <v>8</v>
      </c>
      <c r="S31" s="471">
        <v>8</v>
      </c>
      <c r="T31" s="471">
        <v>8</v>
      </c>
      <c r="U31" s="471">
        <v>8</v>
      </c>
      <c r="V31" s="473">
        <v>8</v>
      </c>
      <c r="W31" s="471">
        <v>8</v>
      </c>
      <c r="X31" s="471">
        <v>8</v>
      </c>
      <c r="Y31" s="471">
        <v>8</v>
      </c>
      <c r="Z31" s="471">
        <v>8</v>
      </c>
      <c r="AA31" s="471">
        <v>8</v>
      </c>
      <c r="AB31" s="471">
        <v>8</v>
      </c>
      <c r="AC31" s="471">
        <v>8</v>
      </c>
      <c r="AD31" s="471">
        <v>8</v>
      </c>
      <c r="AE31" s="471">
        <v>8</v>
      </c>
      <c r="AF31" s="471">
        <v>8</v>
      </c>
      <c r="AG31" s="471">
        <v>8</v>
      </c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</row>
    <row r="32" spans="1:131" s="467" customFormat="1" x14ac:dyDescent="0.25">
      <c r="A32" s="474" t="s">
        <v>417</v>
      </c>
      <c r="B32" s="438" t="s">
        <v>583</v>
      </c>
      <c r="C32" s="438"/>
      <c r="D32" s="438" t="s">
        <v>41</v>
      </c>
      <c r="E32" s="475" t="s">
        <v>42</v>
      </c>
      <c r="F32" s="476">
        <v>2</v>
      </c>
      <c r="G32" s="476">
        <v>2</v>
      </c>
      <c r="H32" s="476">
        <v>2</v>
      </c>
      <c r="I32" s="477">
        <v>2</v>
      </c>
      <c r="J32" s="476">
        <v>2</v>
      </c>
      <c r="K32" s="476">
        <v>2</v>
      </c>
      <c r="L32" s="476">
        <v>2</v>
      </c>
      <c r="M32" s="476">
        <v>2</v>
      </c>
      <c r="N32" s="476">
        <v>2</v>
      </c>
      <c r="O32" s="476">
        <v>2</v>
      </c>
      <c r="P32" s="476">
        <v>2</v>
      </c>
      <c r="Q32" s="476">
        <v>2</v>
      </c>
      <c r="R32" s="476">
        <v>2</v>
      </c>
      <c r="S32" s="476">
        <v>2</v>
      </c>
      <c r="T32" s="476">
        <v>2</v>
      </c>
      <c r="U32" s="476">
        <v>2</v>
      </c>
      <c r="V32" s="478">
        <v>2</v>
      </c>
      <c r="W32" s="476">
        <v>2</v>
      </c>
      <c r="X32" s="476">
        <v>2</v>
      </c>
      <c r="Y32" s="476">
        <v>2</v>
      </c>
      <c r="Z32" s="476">
        <v>2</v>
      </c>
      <c r="AA32" s="476">
        <v>2</v>
      </c>
      <c r="AB32" s="476">
        <v>2</v>
      </c>
      <c r="AC32" s="476">
        <v>2</v>
      </c>
      <c r="AD32" s="476">
        <v>2</v>
      </c>
      <c r="AE32" s="476">
        <v>2</v>
      </c>
      <c r="AF32" s="476">
        <v>2</v>
      </c>
      <c r="AG32" s="476">
        <v>2</v>
      </c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</row>
    <row r="33" spans="1:131" s="467" customFormat="1" x14ac:dyDescent="0.25">
      <c r="A33" s="474" t="s">
        <v>417</v>
      </c>
      <c r="B33" s="438" t="s">
        <v>580</v>
      </c>
      <c r="C33" s="438"/>
      <c r="D33" s="438" t="s">
        <v>41</v>
      </c>
      <c r="E33" s="475" t="s">
        <v>44</v>
      </c>
      <c r="F33" s="476">
        <v>1</v>
      </c>
      <c r="G33" s="476">
        <v>1</v>
      </c>
      <c r="H33" s="476">
        <v>1</v>
      </c>
      <c r="I33" s="477">
        <v>1</v>
      </c>
      <c r="J33" s="476">
        <v>1</v>
      </c>
      <c r="K33" s="476">
        <v>1</v>
      </c>
      <c r="L33" s="476">
        <v>1</v>
      </c>
      <c r="M33" s="476">
        <v>1</v>
      </c>
      <c r="N33" s="476">
        <v>1</v>
      </c>
      <c r="O33" s="476">
        <v>1</v>
      </c>
      <c r="P33" s="476">
        <v>1</v>
      </c>
      <c r="Q33" s="476">
        <v>1</v>
      </c>
      <c r="R33" s="476">
        <v>1</v>
      </c>
      <c r="S33" s="476">
        <v>1</v>
      </c>
      <c r="T33" s="476">
        <v>1</v>
      </c>
      <c r="U33" s="476">
        <v>1</v>
      </c>
      <c r="V33" s="478">
        <v>1</v>
      </c>
      <c r="W33" s="476">
        <v>1</v>
      </c>
      <c r="X33" s="476">
        <v>1</v>
      </c>
      <c r="Y33" s="476">
        <v>1</v>
      </c>
      <c r="Z33" s="476">
        <v>1</v>
      </c>
      <c r="AA33" s="476">
        <v>1</v>
      </c>
      <c r="AB33" s="476">
        <v>1</v>
      </c>
      <c r="AC33" s="476">
        <v>1</v>
      </c>
      <c r="AD33" s="476">
        <v>1</v>
      </c>
      <c r="AE33" s="476">
        <v>1</v>
      </c>
      <c r="AF33" s="476">
        <v>1</v>
      </c>
      <c r="AG33" s="476">
        <v>1</v>
      </c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</row>
    <row r="34" spans="1:131" s="467" customFormat="1" x14ac:dyDescent="0.25">
      <c r="A34" s="468" t="s">
        <v>585</v>
      </c>
      <c r="B34" s="469"/>
      <c r="C34" s="469"/>
      <c r="D34" s="469"/>
      <c r="E34" s="469"/>
      <c r="F34" s="471">
        <v>3</v>
      </c>
      <c r="G34" s="471">
        <v>3</v>
      </c>
      <c r="H34" s="471">
        <v>3</v>
      </c>
      <c r="I34" s="472">
        <v>3</v>
      </c>
      <c r="J34" s="471">
        <v>3</v>
      </c>
      <c r="K34" s="471">
        <v>3</v>
      </c>
      <c r="L34" s="471">
        <v>3</v>
      </c>
      <c r="M34" s="471">
        <v>3</v>
      </c>
      <c r="N34" s="471">
        <v>3</v>
      </c>
      <c r="O34" s="471">
        <v>3</v>
      </c>
      <c r="P34" s="471">
        <v>3</v>
      </c>
      <c r="Q34" s="471">
        <v>3</v>
      </c>
      <c r="R34" s="471">
        <v>3</v>
      </c>
      <c r="S34" s="471">
        <v>3</v>
      </c>
      <c r="T34" s="471">
        <v>3</v>
      </c>
      <c r="U34" s="471">
        <v>3</v>
      </c>
      <c r="V34" s="473">
        <v>3</v>
      </c>
      <c r="W34" s="471">
        <v>3</v>
      </c>
      <c r="X34" s="471">
        <v>3</v>
      </c>
      <c r="Y34" s="471">
        <v>3</v>
      </c>
      <c r="Z34" s="471">
        <v>3</v>
      </c>
      <c r="AA34" s="471">
        <v>3</v>
      </c>
      <c r="AB34" s="471">
        <v>3</v>
      </c>
      <c r="AC34" s="471">
        <v>3</v>
      </c>
      <c r="AD34" s="471">
        <v>3</v>
      </c>
      <c r="AE34" s="471">
        <v>3</v>
      </c>
      <c r="AF34" s="471">
        <v>3</v>
      </c>
      <c r="AG34" s="471">
        <v>3</v>
      </c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</row>
    <row r="35" spans="1:131" x14ac:dyDescent="0.25">
      <c r="A35" s="452" t="s">
        <v>419</v>
      </c>
      <c r="B35" s="439" t="s">
        <v>758</v>
      </c>
      <c r="C35" s="439"/>
      <c r="D35" s="439" t="s">
        <v>51</v>
      </c>
      <c r="E35" s="439" t="s">
        <v>756</v>
      </c>
      <c r="F35" s="453">
        <v>1</v>
      </c>
      <c r="G35" s="453">
        <v>0</v>
      </c>
      <c r="H35" s="453">
        <v>0</v>
      </c>
      <c r="I35" s="454">
        <v>0</v>
      </c>
      <c r="J35" s="453">
        <v>0</v>
      </c>
      <c r="K35" s="453">
        <v>0</v>
      </c>
      <c r="L35" s="453">
        <v>0</v>
      </c>
      <c r="M35" s="453">
        <v>0</v>
      </c>
      <c r="N35" s="453">
        <v>0</v>
      </c>
      <c r="O35" s="453">
        <v>0</v>
      </c>
      <c r="P35" s="453">
        <v>0</v>
      </c>
      <c r="Q35" s="453">
        <v>0</v>
      </c>
      <c r="R35" s="453">
        <v>0</v>
      </c>
      <c r="S35" s="453">
        <v>0</v>
      </c>
      <c r="T35" s="453">
        <v>0</v>
      </c>
      <c r="U35" s="453">
        <v>0</v>
      </c>
      <c r="V35" s="460">
        <v>0</v>
      </c>
      <c r="W35" s="453">
        <v>0</v>
      </c>
      <c r="X35" s="453">
        <v>0</v>
      </c>
      <c r="Y35" s="453">
        <v>0</v>
      </c>
      <c r="Z35" s="453">
        <v>0</v>
      </c>
      <c r="AA35" s="453">
        <v>0</v>
      </c>
      <c r="AB35" s="453">
        <v>0</v>
      </c>
      <c r="AC35" s="453">
        <v>0</v>
      </c>
      <c r="AD35" s="453">
        <v>0</v>
      </c>
      <c r="AE35" s="453">
        <v>0</v>
      </c>
      <c r="AF35" s="453">
        <v>0</v>
      </c>
      <c r="AG35" s="453">
        <v>0</v>
      </c>
    </row>
    <row r="36" spans="1:131" x14ac:dyDescent="0.25">
      <c r="A36" s="479" t="s">
        <v>150</v>
      </c>
      <c r="B36" s="480" t="s">
        <v>757</v>
      </c>
      <c r="C36" s="480"/>
      <c r="D36" s="480" t="s">
        <v>34</v>
      </c>
      <c r="E36" s="480" t="s">
        <v>35</v>
      </c>
      <c r="F36" s="481">
        <v>1</v>
      </c>
      <c r="G36" s="481">
        <v>1</v>
      </c>
      <c r="H36" s="481">
        <v>1</v>
      </c>
      <c r="I36" s="482">
        <v>1</v>
      </c>
      <c r="J36" s="448">
        <v>1</v>
      </c>
      <c r="K36" s="448">
        <v>1</v>
      </c>
      <c r="L36" s="448">
        <v>1</v>
      </c>
      <c r="M36" s="448">
        <v>1</v>
      </c>
      <c r="N36" s="448">
        <v>1</v>
      </c>
      <c r="O36" s="448">
        <v>1</v>
      </c>
      <c r="P36" s="448">
        <v>1</v>
      </c>
      <c r="Q36" s="448">
        <v>1</v>
      </c>
      <c r="R36" s="448">
        <v>1</v>
      </c>
      <c r="S36" s="448">
        <v>1</v>
      </c>
      <c r="T36" s="448">
        <v>1</v>
      </c>
      <c r="U36" s="448">
        <v>1</v>
      </c>
      <c r="V36" s="455">
        <v>1</v>
      </c>
      <c r="W36" s="448">
        <v>1</v>
      </c>
      <c r="X36" s="448">
        <v>1</v>
      </c>
      <c r="Y36" s="448">
        <v>1</v>
      </c>
      <c r="Z36" s="448">
        <v>1</v>
      </c>
      <c r="AA36" s="448">
        <v>1</v>
      </c>
      <c r="AB36" s="448">
        <v>1</v>
      </c>
      <c r="AC36" s="448">
        <v>1</v>
      </c>
      <c r="AD36" s="448">
        <v>1</v>
      </c>
      <c r="AE36" s="448">
        <v>1</v>
      </c>
      <c r="AF36" s="448">
        <v>1</v>
      </c>
      <c r="AG36" s="448">
        <v>1</v>
      </c>
    </row>
    <row r="37" spans="1:131" x14ac:dyDescent="0.25">
      <c r="A37" s="479" t="s">
        <v>263</v>
      </c>
      <c r="B37" s="480"/>
      <c r="C37" s="480"/>
      <c r="D37" s="480"/>
      <c r="E37" s="480"/>
      <c r="F37" s="481">
        <v>319214</v>
      </c>
      <c r="G37" s="481">
        <v>319613</v>
      </c>
      <c r="H37" s="481">
        <v>320462</v>
      </c>
      <c r="I37" s="482">
        <v>321733</v>
      </c>
      <c r="J37" s="483">
        <v>322376</v>
      </c>
      <c r="K37" s="483">
        <v>322629</v>
      </c>
      <c r="L37" s="483">
        <v>322874</v>
      </c>
      <c r="M37" s="483">
        <v>322124</v>
      </c>
      <c r="N37" s="483">
        <v>321374</v>
      </c>
      <c r="O37" s="483">
        <v>321122</v>
      </c>
      <c r="P37" s="483">
        <v>320593</v>
      </c>
      <c r="Q37" s="483">
        <v>320534</v>
      </c>
      <c r="R37" s="483">
        <v>320153</v>
      </c>
      <c r="S37" s="483">
        <v>320530</v>
      </c>
      <c r="T37" s="483">
        <v>320861</v>
      </c>
      <c r="U37" s="483">
        <v>322146</v>
      </c>
      <c r="V37" s="484">
        <v>322802</v>
      </c>
      <c r="W37" s="483">
        <v>323067</v>
      </c>
      <c r="X37" s="483">
        <v>323323</v>
      </c>
      <c r="Y37" s="483">
        <v>322582</v>
      </c>
      <c r="Z37" s="483">
        <v>321841</v>
      </c>
      <c r="AA37" s="483">
        <v>321597</v>
      </c>
      <c r="AB37" s="483">
        <v>321076</v>
      </c>
      <c r="AC37" s="483">
        <v>321024</v>
      </c>
      <c r="AD37" s="483">
        <v>320651</v>
      </c>
      <c r="AE37" s="483">
        <v>321035</v>
      </c>
      <c r="AF37" s="483">
        <v>321371</v>
      </c>
      <c r="AG37" s="483">
        <v>322659</v>
      </c>
    </row>
    <row r="38" spans="1:131" s="467" customFormat="1" x14ac:dyDescent="0.25">
      <c r="F38" s="485" t="s">
        <v>586</v>
      </c>
      <c r="G38" s="485" t="s">
        <v>586</v>
      </c>
      <c r="H38" s="485" t="s">
        <v>586</v>
      </c>
      <c r="I38" s="486" t="s">
        <v>586</v>
      </c>
      <c r="J38" s="485" t="s">
        <v>586</v>
      </c>
      <c r="K38" s="485" t="s">
        <v>586</v>
      </c>
      <c r="L38" s="485" t="s">
        <v>586</v>
      </c>
      <c r="M38" s="485" t="s">
        <v>586</v>
      </c>
      <c r="N38" s="485" t="s">
        <v>586</v>
      </c>
      <c r="O38" s="485" t="s">
        <v>586</v>
      </c>
      <c r="P38" s="485">
        <f>SUM(P37:AA37)</f>
        <v>3860029</v>
      </c>
      <c r="Q38" s="485" t="s">
        <v>586</v>
      </c>
      <c r="R38" s="485" t="s">
        <v>586</v>
      </c>
      <c r="S38" s="485" t="s">
        <v>586</v>
      </c>
      <c r="T38" s="485" t="s">
        <v>586</v>
      </c>
      <c r="U38" s="486" t="s">
        <v>586</v>
      </c>
      <c r="V38" s="485" t="s">
        <v>586</v>
      </c>
      <c r="W38" s="485" t="s">
        <v>586</v>
      </c>
      <c r="X38" s="485" t="s">
        <v>586</v>
      </c>
      <c r="Y38" s="485" t="s">
        <v>586</v>
      </c>
      <c r="Z38" s="485" t="s">
        <v>586</v>
      </c>
      <c r="AA38" s="485" t="s">
        <v>586</v>
      </c>
      <c r="AB38" s="485" t="s">
        <v>586</v>
      </c>
      <c r="AC38" s="485" t="s">
        <v>586</v>
      </c>
      <c r="AD38" s="485" t="s">
        <v>586</v>
      </c>
      <c r="AE38" s="485" t="s">
        <v>586</v>
      </c>
      <c r="AF38" s="485" t="s">
        <v>586</v>
      </c>
      <c r="AG38" s="486" t="s">
        <v>586</v>
      </c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1:131" s="467" customFormat="1" x14ac:dyDescent="0.25">
      <c r="A39" s="487" t="s">
        <v>587</v>
      </c>
      <c r="F39" s="488" t="s">
        <v>586</v>
      </c>
      <c r="G39" s="488" t="s">
        <v>586</v>
      </c>
      <c r="H39" s="488" t="s">
        <v>586</v>
      </c>
      <c r="I39" s="489" t="s">
        <v>586</v>
      </c>
      <c r="J39" s="488" t="s">
        <v>586</v>
      </c>
      <c r="K39" s="488" t="s">
        <v>586</v>
      </c>
      <c r="L39" s="488" t="s">
        <v>586</v>
      </c>
      <c r="M39" s="488" t="s">
        <v>586</v>
      </c>
      <c r="N39" s="488" t="s">
        <v>586</v>
      </c>
      <c r="O39" s="488" t="s">
        <v>586</v>
      </c>
      <c r="P39" s="488" t="s">
        <v>586</v>
      </c>
      <c r="Q39" s="488" t="s">
        <v>586</v>
      </c>
      <c r="R39" s="488" t="s">
        <v>586</v>
      </c>
      <c r="S39" s="488" t="s">
        <v>586</v>
      </c>
      <c r="T39" s="488" t="s">
        <v>586</v>
      </c>
      <c r="U39" s="489" t="s">
        <v>586</v>
      </c>
      <c r="V39" s="488" t="s">
        <v>586</v>
      </c>
      <c r="W39" s="488" t="s">
        <v>586</v>
      </c>
      <c r="X39" s="488" t="s">
        <v>586</v>
      </c>
      <c r="Y39" s="488" t="s">
        <v>586</v>
      </c>
      <c r="Z39" s="488" t="s">
        <v>586</v>
      </c>
      <c r="AA39" s="488" t="s">
        <v>586</v>
      </c>
      <c r="AB39" s="488" t="s">
        <v>586</v>
      </c>
      <c r="AC39" s="488" t="s">
        <v>586</v>
      </c>
      <c r="AD39" s="488" t="s">
        <v>586</v>
      </c>
      <c r="AE39" s="488" t="s">
        <v>586</v>
      </c>
      <c r="AF39" s="488" t="s">
        <v>586</v>
      </c>
      <c r="AG39" s="489" t="s">
        <v>586</v>
      </c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1:131" s="467" customFormat="1" x14ac:dyDescent="0.25">
      <c r="A40" s="490" t="s">
        <v>588</v>
      </c>
      <c r="B40" s="491"/>
      <c r="C40" s="491"/>
      <c r="D40" s="491"/>
      <c r="E40" s="491"/>
      <c r="F40" s="492">
        <v>7</v>
      </c>
      <c r="G40" s="492">
        <v>7</v>
      </c>
      <c r="H40" s="492">
        <v>7</v>
      </c>
      <c r="I40" s="492">
        <v>7</v>
      </c>
      <c r="J40" s="492">
        <v>7</v>
      </c>
      <c r="K40" s="492">
        <v>7</v>
      </c>
      <c r="L40" s="492">
        <v>7</v>
      </c>
      <c r="M40" s="492">
        <v>7</v>
      </c>
      <c r="N40" s="492">
        <v>7</v>
      </c>
      <c r="O40" s="492">
        <v>7</v>
      </c>
      <c r="P40" s="492">
        <v>7</v>
      </c>
      <c r="Q40" s="492">
        <v>7</v>
      </c>
      <c r="R40" s="492">
        <v>7</v>
      </c>
      <c r="S40" s="492">
        <v>7</v>
      </c>
      <c r="T40" s="492">
        <v>7</v>
      </c>
      <c r="U40" s="492">
        <v>7</v>
      </c>
      <c r="V40" s="492">
        <v>7</v>
      </c>
      <c r="W40" s="492">
        <v>7</v>
      </c>
      <c r="X40" s="492">
        <v>7</v>
      </c>
      <c r="Y40" s="492">
        <v>7</v>
      </c>
      <c r="Z40" s="492">
        <v>7</v>
      </c>
      <c r="AA40" s="492">
        <v>7</v>
      </c>
      <c r="AB40" s="492">
        <v>7</v>
      </c>
      <c r="AC40" s="492">
        <v>7</v>
      </c>
      <c r="AD40" s="492">
        <v>7</v>
      </c>
      <c r="AE40" s="492">
        <v>7</v>
      </c>
      <c r="AF40" s="492">
        <v>7</v>
      </c>
      <c r="AG40" s="492">
        <v>7</v>
      </c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1:131" s="467" customFormat="1" x14ac:dyDescent="0.25">
      <c r="A41" s="493" t="s">
        <v>589</v>
      </c>
      <c r="B41" s="494"/>
      <c r="C41" s="494"/>
      <c r="D41" s="494"/>
      <c r="E41" s="494"/>
      <c r="F41" s="495">
        <v>73</v>
      </c>
      <c r="G41" s="495">
        <v>73</v>
      </c>
      <c r="H41" s="495">
        <v>73</v>
      </c>
      <c r="I41" s="495">
        <v>73</v>
      </c>
      <c r="J41" s="495">
        <v>73</v>
      </c>
      <c r="K41" s="495">
        <v>73</v>
      </c>
      <c r="L41" s="495">
        <v>73</v>
      </c>
      <c r="M41" s="495">
        <v>73</v>
      </c>
      <c r="N41" s="495">
        <v>73</v>
      </c>
      <c r="O41" s="495">
        <v>73</v>
      </c>
      <c r="P41" s="495">
        <v>73</v>
      </c>
      <c r="Q41" s="495">
        <v>73</v>
      </c>
      <c r="R41" s="495">
        <v>73</v>
      </c>
      <c r="S41" s="495">
        <v>73</v>
      </c>
      <c r="T41" s="495">
        <v>73</v>
      </c>
      <c r="U41" s="495">
        <v>73</v>
      </c>
      <c r="V41" s="495">
        <v>73</v>
      </c>
      <c r="W41" s="495">
        <v>73</v>
      </c>
      <c r="X41" s="495">
        <v>73</v>
      </c>
      <c r="Y41" s="495">
        <v>73</v>
      </c>
      <c r="Z41" s="495">
        <v>73</v>
      </c>
      <c r="AA41" s="495">
        <v>73</v>
      </c>
      <c r="AB41" s="495">
        <v>73</v>
      </c>
      <c r="AC41" s="495">
        <v>73</v>
      </c>
      <c r="AD41" s="495">
        <v>73</v>
      </c>
      <c r="AE41" s="495">
        <v>73</v>
      </c>
      <c r="AF41" s="495">
        <v>73</v>
      </c>
      <c r="AG41" s="495">
        <v>73</v>
      </c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2" spans="1:131" s="467" customFormat="1" x14ac:dyDescent="0.25">
      <c r="A42" s="496" t="s">
        <v>759</v>
      </c>
      <c r="B42" s="497"/>
      <c r="C42" s="497"/>
      <c r="D42" s="497"/>
      <c r="E42" s="497"/>
      <c r="F42" s="498">
        <v>2</v>
      </c>
      <c r="G42" s="498">
        <v>1</v>
      </c>
      <c r="H42" s="498">
        <v>1</v>
      </c>
      <c r="I42" s="498">
        <v>1</v>
      </c>
      <c r="J42" s="498">
        <v>1</v>
      </c>
      <c r="K42" s="498">
        <v>1</v>
      </c>
      <c r="L42" s="498">
        <v>1</v>
      </c>
      <c r="M42" s="498">
        <v>1</v>
      </c>
      <c r="N42" s="498">
        <v>1</v>
      </c>
      <c r="O42" s="498">
        <v>1</v>
      </c>
      <c r="P42" s="498">
        <v>1</v>
      </c>
      <c r="Q42" s="498">
        <v>1</v>
      </c>
      <c r="R42" s="498">
        <v>1</v>
      </c>
      <c r="S42" s="498">
        <v>1</v>
      </c>
      <c r="T42" s="498">
        <v>1</v>
      </c>
      <c r="U42" s="498">
        <v>1</v>
      </c>
      <c r="V42" s="498">
        <v>1</v>
      </c>
      <c r="W42" s="498">
        <v>1</v>
      </c>
      <c r="X42" s="498">
        <v>1</v>
      </c>
      <c r="Y42" s="498">
        <v>1</v>
      </c>
      <c r="Z42" s="498">
        <v>1</v>
      </c>
      <c r="AA42" s="498">
        <v>1</v>
      </c>
      <c r="AB42" s="498">
        <v>1</v>
      </c>
      <c r="AC42" s="498">
        <v>1</v>
      </c>
      <c r="AD42" s="498">
        <v>1</v>
      </c>
      <c r="AE42" s="498">
        <v>1</v>
      </c>
      <c r="AF42" s="498">
        <v>1</v>
      </c>
      <c r="AG42" s="498">
        <v>1</v>
      </c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</row>
    <row r="43" spans="1:131" x14ac:dyDescent="0.25">
      <c r="P43" s="499">
        <f>SUM(P40:P42)</f>
        <v>81</v>
      </c>
      <c r="Q43" s="499">
        <f t="shared" ref="Q43:AA43" si="0">SUM(Q40:Q42)</f>
        <v>81</v>
      </c>
      <c r="R43" s="499">
        <f t="shared" si="0"/>
        <v>81</v>
      </c>
      <c r="S43" s="499">
        <f t="shared" si="0"/>
        <v>81</v>
      </c>
      <c r="T43" s="499">
        <f t="shared" si="0"/>
        <v>81</v>
      </c>
      <c r="U43" s="499">
        <f t="shared" si="0"/>
        <v>81</v>
      </c>
      <c r="V43" s="499">
        <f t="shared" si="0"/>
        <v>81</v>
      </c>
      <c r="W43" s="499">
        <f t="shared" si="0"/>
        <v>81</v>
      </c>
      <c r="X43" s="499">
        <f t="shared" si="0"/>
        <v>81</v>
      </c>
      <c r="Y43" s="499">
        <f t="shared" si="0"/>
        <v>81</v>
      </c>
      <c r="Z43" s="499">
        <f t="shared" si="0"/>
        <v>81</v>
      </c>
      <c r="AA43" s="499">
        <f t="shared" si="0"/>
        <v>81</v>
      </c>
    </row>
    <row r="44" spans="1:131" x14ac:dyDescent="0.25">
      <c r="P44" s="499">
        <f>SUM(P43:AA43)</f>
        <v>972</v>
      </c>
    </row>
    <row r="46" spans="1:131" x14ac:dyDescent="0.25">
      <c r="F46" s="435">
        <v>9</v>
      </c>
      <c r="G46" s="435">
        <v>10</v>
      </c>
      <c r="H46" s="435">
        <v>11</v>
      </c>
      <c r="I46" s="435">
        <v>12</v>
      </c>
    </row>
    <row r="47" spans="1:131" x14ac:dyDescent="0.25">
      <c r="E47" s="435" t="s">
        <v>572</v>
      </c>
      <c r="F47" s="435">
        <v>0.96</v>
      </c>
      <c r="G47" s="435">
        <v>0.96</v>
      </c>
      <c r="H47" s="435">
        <v>0.96</v>
      </c>
      <c r="I47" s="435">
        <v>0.96</v>
      </c>
    </row>
    <row r="48" spans="1:131" x14ac:dyDescent="0.25">
      <c r="E48" s="435" t="s">
        <v>576</v>
      </c>
      <c r="F48" s="435">
        <v>0.55000000000000004</v>
      </c>
      <c r="G48" s="435">
        <v>0.55000000000000004</v>
      </c>
      <c r="H48" s="435">
        <v>0.55000000000000004</v>
      </c>
      <c r="I48" s="435">
        <v>0.55000000000000004</v>
      </c>
    </row>
    <row r="49" spans="5:9" x14ac:dyDescent="0.25">
      <c r="E49" s="435" t="s">
        <v>590</v>
      </c>
      <c r="F49" s="435">
        <v>1</v>
      </c>
      <c r="G49" s="435">
        <v>1</v>
      </c>
      <c r="H49" s="435">
        <v>1</v>
      </c>
      <c r="I49" s="435">
        <v>1</v>
      </c>
    </row>
    <row r="50" spans="5:9" x14ac:dyDescent="0.25">
      <c r="E50" s="435" t="s">
        <v>591</v>
      </c>
      <c r="F50" s="435">
        <v>0</v>
      </c>
      <c r="G50" s="435">
        <v>0</v>
      </c>
      <c r="H50" s="435">
        <v>0</v>
      </c>
      <c r="I50" s="435">
        <v>0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Z60"/>
  <sheetViews>
    <sheetView topLeftCell="A16" workbookViewId="0">
      <selection activeCell="A48" sqref="A48"/>
    </sheetView>
  </sheetViews>
  <sheetFormatPr defaultColWidth="9.140625" defaultRowHeight="15" x14ac:dyDescent="0.25"/>
  <cols>
    <col min="1" max="1" width="27.5703125" style="435" customWidth="1"/>
    <col min="2" max="2" width="37.28515625" style="435" bestFit="1" customWidth="1"/>
    <col min="3" max="3" width="14.85546875" style="435" customWidth="1"/>
    <col min="4" max="4" width="15.28515625" style="435" customWidth="1"/>
    <col min="5" max="5" width="40.85546875" style="435" customWidth="1"/>
    <col min="6" max="23" width="13.28515625" style="435" customWidth="1"/>
    <col min="24" max="41" width="13" style="435" bestFit="1" customWidth="1"/>
    <col min="42" max="137" width="13" bestFit="1" customWidth="1"/>
    <col min="138" max="208" width="8.85546875" customWidth="1"/>
    <col min="209" max="16384" width="9.140625" style="435"/>
  </cols>
  <sheetData>
    <row r="1" spans="1:41" x14ac:dyDescent="0.25">
      <c r="A1" s="434" t="s">
        <v>565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</row>
    <row r="2" spans="1:41" x14ac:dyDescent="0.25">
      <c r="A2" s="434" t="s">
        <v>566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  <c r="AJ2" s="500"/>
      <c r="AK2" s="500"/>
      <c r="AL2" s="500"/>
      <c r="AM2" s="500"/>
      <c r="AN2" s="500"/>
      <c r="AO2" s="500"/>
    </row>
    <row r="3" spans="1:41" x14ac:dyDescent="0.25">
      <c r="A3" s="501"/>
      <c r="B3" s="502"/>
      <c r="C3" s="503"/>
      <c r="D3" s="503"/>
      <c r="E3" s="503"/>
      <c r="F3" s="504">
        <v>2016</v>
      </c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6"/>
      <c r="R3" s="505">
        <v>2017</v>
      </c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8">
        <v>2018</v>
      </c>
      <c r="AE3" s="507"/>
      <c r="AF3" s="507"/>
      <c r="AG3" s="507"/>
      <c r="AH3" s="507"/>
      <c r="AI3" s="507"/>
      <c r="AJ3" s="507"/>
      <c r="AK3" s="507"/>
      <c r="AL3" s="507"/>
      <c r="AM3" s="507"/>
      <c r="AN3" s="507"/>
      <c r="AO3" s="507"/>
    </row>
    <row r="4" spans="1:41" x14ac:dyDescent="0.25">
      <c r="A4" s="509" t="s">
        <v>567</v>
      </c>
      <c r="B4" s="510" t="s">
        <v>568</v>
      </c>
      <c r="C4" s="510"/>
      <c r="D4" s="510"/>
      <c r="E4" s="510" t="s">
        <v>569</v>
      </c>
      <c r="F4" s="511">
        <v>1</v>
      </c>
      <c r="G4" s="510">
        <v>2</v>
      </c>
      <c r="H4" s="510">
        <v>3</v>
      </c>
      <c r="I4" s="510">
        <v>4</v>
      </c>
      <c r="J4" s="510">
        <v>5</v>
      </c>
      <c r="K4" s="510">
        <v>6</v>
      </c>
      <c r="L4" s="510">
        <v>7</v>
      </c>
      <c r="M4" s="510">
        <v>8</v>
      </c>
      <c r="N4" s="510">
        <v>9</v>
      </c>
      <c r="O4" s="510">
        <v>10</v>
      </c>
      <c r="P4" s="510">
        <v>11</v>
      </c>
      <c r="Q4" s="512">
        <v>12</v>
      </c>
      <c r="R4" s="510">
        <v>1</v>
      </c>
      <c r="S4" s="510">
        <v>2</v>
      </c>
      <c r="T4" s="510">
        <v>3</v>
      </c>
      <c r="U4" s="510">
        <v>4</v>
      </c>
      <c r="V4" s="510">
        <v>5</v>
      </c>
      <c r="W4" s="510">
        <v>6</v>
      </c>
      <c r="X4" s="510">
        <v>7</v>
      </c>
      <c r="Y4" s="510">
        <v>8</v>
      </c>
      <c r="Z4" s="510">
        <v>9</v>
      </c>
      <c r="AA4" s="510">
        <v>10</v>
      </c>
      <c r="AB4" s="510">
        <v>11</v>
      </c>
      <c r="AC4" s="510">
        <v>12</v>
      </c>
      <c r="AD4" s="513">
        <v>1</v>
      </c>
      <c r="AE4" s="510">
        <v>2</v>
      </c>
      <c r="AF4" s="510">
        <v>3</v>
      </c>
      <c r="AG4" s="510">
        <v>4</v>
      </c>
      <c r="AH4" s="510">
        <v>5</v>
      </c>
      <c r="AI4" s="510">
        <v>6</v>
      </c>
      <c r="AJ4" s="510">
        <v>7</v>
      </c>
      <c r="AK4" s="510">
        <v>8</v>
      </c>
      <c r="AL4" s="510">
        <v>9</v>
      </c>
      <c r="AM4" s="510">
        <v>10</v>
      </c>
      <c r="AN4" s="510">
        <v>11</v>
      </c>
      <c r="AO4" s="510">
        <v>12</v>
      </c>
    </row>
    <row r="5" spans="1:41" x14ac:dyDescent="0.25">
      <c r="A5" s="509" t="s">
        <v>15</v>
      </c>
      <c r="B5" s="514" t="s">
        <v>125</v>
      </c>
      <c r="C5" s="514"/>
      <c r="D5" s="303" t="s">
        <v>22</v>
      </c>
      <c r="E5" s="287" t="s">
        <v>23</v>
      </c>
      <c r="F5" s="515">
        <v>4414123.2661144789</v>
      </c>
      <c r="G5" s="516">
        <v>3722318.6386824409</v>
      </c>
      <c r="H5" s="516">
        <v>2611227.9564235159</v>
      </c>
      <c r="I5" s="516">
        <v>1170558.065659048</v>
      </c>
      <c r="J5" s="516">
        <v>675538.14571980794</v>
      </c>
      <c r="K5" s="516">
        <v>394720.8557823489</v>
      </c>
      <c r="L5" s="516">
        <v>336428.79478029796</v>
      </c>
      <c r="M5" s="516">
        <v>325650.76386635238</v>
      </c>
      <c r="N5" s="516">
        <v>363764.39344404195</v>
      </c>
      <c r="O5" s="516">
        <v>722085.66512282589</v>
      </c>
      <c r="P5" s="516">
        <v>1883481.6010073496</v>
      </c>
      <c r="Q5" s="517">
        <v>3469224.5870117573</v>
      </c>
      <c r="R5" s="516">
        <v>4318716.4758666549</v>
      </c>
      <c r="S5" s="516">
        <v>3653204.9673057785</v>
      </c>
      <c r="T5" s="516">
        <v>2566782.7709593512</v>
      </c>
      <c r="U5" s="516">
        <v>1141427.4687500142</v>
      </c>
      <c r="V5" s="516">
        <v>661315.64633860893</v>
      </c>
      <c r="W5" s="516">
        <v>388515.46595175052</v>
      </c>
      <c r="X5" s="516">
        <v>331296.98807058868</v>
      </c>
      <c r="Y5" s="516">
        <v>325491.3270918983</v>
      </c>
      <c r="Z5" s="516">
        <v>357816.93975070916</v>
      </c>
      <c r="AA5" s="516">
        <v>698891.80484360305</v>
      </c>
      <c r="AB5" s="516">
        <v>1819452.5933574513</v>
      </c>
      <c r="AC5" s="516">
        <v>3382358.1656803363</v>
      </c>
      <c r="AD5" s="516">
        <v>4271060.0173833081</v>
      </c>
      <c r="AE5" s="516">
        <v>3619910.8909244579</v>
      </c>
      <c r="AF5" s="516">
        <v>2541717.4572656113</v>
      </c>
      <c r="AG5" s="516">
        <v>1125991.7271824393</v>
      </c>
      <c r="AH5" s="516">
        <v>653351.08191682771</v>
      </c>
      <c r="AI5" s="516">
        <v>384098.6410236744</v>
      </c>
      <c r="AJ5" s="516">
        <v>327832.70925787487</v>
      </c>
      <c r="AK5" s="516">
        <v>322000.38990628585</v>
      </c>
      <c r="AL5" s="516">
        <v>353718.40361416404</v>
      </c>
      <c r="AM5" s="516">
        <v>687834.81788437278</v>
      </c>
      <c r="AN5" s="516">
        <v>1796649.1211033091</v>
      </c>
      <c r="AO5" s="516">
        <v>3349009.8828109391</v>
      </c>
    </row>
    <row r="6" spans="1:41" x14ac:dyDescent="0.25">
      <c r="A6" s="518" t="s">
        <v>15</v>
      </c>
      <c r="B6" s="514" t="s">
        <v>101</v>
      </c>
      <c r="C6" s="514" t="s">
        <v>445</v>
      </c>
      <c r="D6" s="480" t="s">
        <v>13</v>
      </c>
      <c r="E6" s="287" t="s">
        <v>14</v>
      </c>
      <c r="F6" s="519">
        <v>501.843136849465</v>
      </c>
      <c r="G6" s="448">
        <v>430.95389564850814</v>
      </c>
      <c r="H6" s="448">
        <v>304.24379625279693</v>
      </c>
      <c r="I6" s="448">
        <v>158.8745428080868</v>
      </c>
      <c r="J6" s="448">
        <v>94.773690102326412</v>
      </c>
      <c r="K6" s="448">
        <v>71.347207789962027</v>
      </c>
      <c r="L6" s="448">
        <v>67.544615423401481</v>
      </c>
      <c r="M6" s="448">
        <v>70.816733642912155</v>
      </c>
      <c r="N6" s="448">
        <v>75.019124390395973</v>
      </c>
      <c r="O6" s="448">
        <v>117.20662681482511</v>
      </c>
      <c r="P6" s="448">
        <v>211.8946082262257</v>
      </c>
      <c r="Q6" s="449">
        <v>385.63835191271659</v>
      </c>
      <c r="R6" s="448">
        <v>494.53602729486573</v>
      </c>
      <c r="S6" s="448">
        <v>428.8066298048671</v>
      </c>
      <c r="T6" s="448">
        <v>300.98072476605938</v>
      </c>
      <c r="U6" s="448">
        <v>156.53548105234577</v>
      </c>
      <c r="V6" s="448">
        <v>93.895512795666576</v>
      </c>
      <c r="W6" s="448">
        <v>70.511009441739844</v>
      </c>
      <c r="X6" s="448">
        <v>66.319865027699649</v>
      </c>
      <c r="Y6" s="448">
        <v>70.591454607942396</v>
      </c>
      <c r="Z6" s="448">
        <v>73.783444637667088</v>
      </c>
      <c r="AA6" s="448">
        <v>114.95235745001607</v>
      </c>
      <c r="AB6" s="448">
        <v>206.89245386752822</v>
      </c>
      <c r="AC6" s="448">
        <v>379.33208043502094</v>
      </c>
      <c r="AD6" s="448">
        <v>493.15280512257954</v>
      </c>
      <c r="AE6" s="448">
        <v>426.8586764313805</v>
      </c>
      <c r="AF6" s="448">
        <v>299.52933628748019</v>
      </c>
      <c r="AG6" s="448">
        <v>155.74434852078548</v>
      </c>
      <c r="AH6" s="448">
        <v>93.175050786380339</v>
      </c>
      <c r="AI6" s="448">
        <v>69.833403767996899</v>
      </c>
      <c r="AJ6" s="448">
        <v>65.603029079336011</v>
      </c>
      <c r="AK6" s="448">
        <v>69.814555108749261</v>
      </c>
      <c r="AL6" s="448">
        <v>72.999957895562616</v>
      </c>
      <c r="AM6" s="448">
        <v>113.89168116733632</v>
      </c>
      <c r="AN6" s="448">
        <v>205.39454982671779</v>
      </c>
      <c r="AO6" s="448">
        <v>377.0536232220004</v>
      </c>
    </row>
    <row r="7" spans="1:41" x14ac:dyDescent="0.25">
      <c r="A7" s="520" t="s">
        <v>570</v>
      </c>
      <c r="B7" s="521"/>
      <c r="C7" s="514"/>
      <c r="D7" s="514"/>
      <c r="E7" s="522"/>
      <c r="F7" s="523">
        <v>4414625.1092513287</v>
      </c>
      <c r="G7" s="453">
        <v>3722749.5925780893</v>
      </c>
      <c r="H7" s="453">
        <v>2611532.2002197686</v>
      </c>
      <c r="I7" s="453">
        <v>1170716.9402018562</v>
      </c>
      <c r="J7" s="453">
        <v>675632.91940991022</v>
      </c>
      <c r="K7" s="453">
        <v>394792.20299013885</v>
      </c>
      <c r="L7" s="453">
        <v>336496.33939572138</v>
      </c>
      <c r="M7" s="453">
        <v>325721.58059999527</v>
      </c>
      <c r="N7" s="453">
        <v>363839.41256843234</v>
      </c>
      <c r="O7" s="453">
        <v>722202.87174964068</v>
      </c>
      <c r="P7" s="453">
        <v>1883693.4956155757</v>
      </c>
      <c r="Q7" s="454">
        <v>3469610.2253636699</v>
      </c>
      <c r="R7" s="453">
        <v>4319211.0118939495</v>
      </c>
      <c r="S7" s="453">
        <v>3653633.7739355834</v>
      </c>
      <c r="T7" s="453">
        <v>2567083.7516841171</v>
      </c>
      <c r="U7" s="453">
        <v>1141584.0042310664</v>
      </c>
      <c r="V7" s="453">
        <v>661409.54185140459</v>
      </c>
      <c r="W7" s="453">
        <v>388585.97696119227</v>
      </c>
      <c r="X7" s="453">
        <v>331363.30793561635</v>
      </c>
      <c r="Y7" s="453">
        <v>325561.91854650626</v>
      </c>
      <c r="Z7" s="453">
        <v>357890.72319534683</v>
      </c>
      <c r="AA7" s="453">
        <v>699006.75720105309</v>
      </c>
      <c r="AB7" s="453">
        <v>1819659.4858113187</v>
      </c>
      <c r="AC7" s="453">
        <v>3382737.4977607713</v>
      </c>
      <c r="AD7" s="453">
        <v>4271553.1701884307</v>
      </c>
      <c r="AE7" s="453">
        <v>3620337.7496008892</v>
      </c>
      <c r="AF7" s="453">
        <v>2542016.9866018989</v>
      </c>
      <c r="AG7" s="453">
        <v>1126147.4715309602</v>
      </c>
      <c r="AH7" s="453">
        <v>653444.25696761406</v>
      </c>
      <c r="AI7" s="453">
        <v>384168.47442744242</v>
      </c>
      <c r="AJ7" s="453">
        <v>327898.3122869542</v>
      </c>
      <c r="AK7" s="453">
        <v>322070.20446139458</v>
      </c>
      <c r="AL7" s="453">
        <v>353791.40357205959</v>
      </c>
      <c r="AM7" s="453">
        <v>687948.70956554008</v>
      </c>
      <c r="AN7" s="453">
        <v>1796854.5156531357</v>
      </c>
      <c r="AO7" s="453">
        <v>3349386.9364341609</v>
      </c>
    </row>
    <row r="8" spans="1:41" x14ac:dyDescent="0.25">
      <c r="A8" s="524" t="s">
        <v>4</v>
      </c>
      <c r="B8" s="521" t="s">
        <v>571</v>
      </c>
      <c r="C8" s="514"/>
      <c r="D8" s="303" t="s">
        <v>5</v>
      </c>
      <c r="E8" s="287" t="s">
        <v>6</v>
      </c>
      <c r="F8" s="519">
        <v>4989.0718969586515</v>
      </c>
      <c r="G8" s="448">
        <v>4071.9602439200016</v>
      </c>
      <c r="H8" s="448">
        <v>2825.3119577406587</v>
      </c>
      <c r="I8" s="448">
        <v>2178.3740592381669</v>
      </c>
      <c r="J8" s="448">
        <v>1574.7307463817574</v>
      </c>
      <c r="K8" s="448">
        <v>1531.5967204436708</v>
      </c>
      <c r="L8" s="448">
        <v>1469.017340895306</v>
      </c>
      <c r="M8" s="448">
        <v>1554.1788960899737</v>
      </c>
      <c r="N8" s="448">
        <v>1724.4753433866388</v>
      </c>
      <c r="O8" s="448">
        <v>2391.5437163582797</v>
      </c>
      <c r="P8" s="448">
        <v>3018.7754640449521</v>
      </c>
      <c r="Q8" s="449">
        <v>4576.0598163450322</v>
      </c>
      <c r="R8" s="448">
        <v>5216.1352497908947</v>
      </c>
      <c r="S8" s="448">
        <v>4352.4129729419774</v>
      </c>
      <c r="T8" s="448">
        <v>2899.9364816772791</v>
      </c>
      <c r="U8" s="448">
        <v>2177.5620345711168</v>
      </c>
      <c r="V8" s="448">
        <v>1573.243977184625</v>
      </c>
      <c r="W8" s="448">
        <v>1546.2559116037387</v>
      </c>
      <c r="X8" s="448">
        <v>1461.6391168987507</v>
      </c>
      <c r="Y8" s="448">
        <v>1639.3130276280183</v>
      </c>
      <c r="Z8" s="448">
        <v>1763.3259075604465</v>
      </c>
      <c r="AA8" s="448">
        <v>2421.0027654816572</v>
      </c>
      <c r="AB8" s="448">
        <v>2827.3024379849971</v>
      </c>
      <c r="AC8" s="448">
        <v>4240.8380330879954</v>
      </c>
      <c r="AD8" s="455">
        <v>5276.9122719887109</v>
      </c>
      <c r="AE8" s="448">
        <v>4391.7297313238323</v>
      </c>
      <c r="AF8" s="448">
        <v>2925.1883148591387</v>
      </c>
      <c r="AG8" s="448">
        <v>2195.1968228397118</v>
      </c>
      <c r="AH8" s="448">
        <v>1576.4376037452416</v>
      </c>
      <c r="AI8" s="448">
        <v>1542.5638774777246</v>
      </c>
      <c r="AJ8" s="448">
        <v>1455.3514977920422</v>
      </c>
      <c r="AK8" s="448">
        <v>1631.012564868319</v>
      </c>
      <c r="AL8" s="448">
        <v>1755.5864206983335</v>
      </c>
      <c r="AM8" s="448">
        <v>2417.2231432091776</v>
      </c>
      <c r="AN8" s="448">
        <v>2834.5024642582371</v>
      </c>
      <c r="AO8" s="448">
        <v>4265.0203694462234</v>
      </c>
    </row>
    <row r="9" spans="1:41" x14ac:dyDescent="0.25">
      <c r="A9" s="520" t="s">
        <v>4</v>
      </c>
      <c r="B9" s="514" t="s">
        <v>111</v>
      </c>
      <c r="C9" s="514" t="s">
        <v>445</v>
      </c>
      <c r="D9" s="303" t="s">
        <v>18</v>
      </c>
      <c r="E9" s="287" t="s">
        <v>19</v>
      </c>
      <c r="F9" s="519">
        <v>2684.5174165792619</v>
      </c>
      <c r="G9" s="448">
        <v>2477.7213437261039</v>
      </c>
      <c r="H9" s="448">
        <v>1892.2245291455492</v>
      </c>
      <c r="I9" s="448">
        <v>1373.8310200630456</v>
      </c>
      <c r="J9" s="448">
        <v>1207.0286318190699</v>
      </c>
      <c r="K9" s="448">
        <v>1152.0151448232866</v>
      </c>
      <c r="L9" s="448">
        <v>1189.190945409995</v>
      </c>
      <c r="M9" s="448">
        <v>1277.9963622414684</v>
      </c>
      <c r="N9" s="448">
        <v>1319.7953233361782</v>
      </c>
      <c r="O9" s="448">
        <v>2014.6677969809834</v>
      </c>
      <c r="P9" s="448">
        <v>2323.1182329860685</v>
      </c>
      <c r="Q9" s="449">
        <v>2801.433127276955</v>
      </c>
      <c r="R9" s="448">
        <v>2900.9410477749211</v>
      </c>
      <c r="S9" s="448">
        <v>2689.0462458685465</v>
      </c>
      <c r="T9" s="448">
        <v>1990.2725749457702</v>
      </c>
      <c r="U9" s="448">
        <v>1444.0471754657208</v>
      </c>
      <c r="V9" s="448">
        <v>1284.6946937918058</v>
      </c>
      <c r="W9" s="448">
        <v>1222.806128864775</v>
      </c>
      <c r="X9" s="448">
        <v>1251.3873016425498</v>
      </c>
      <c r="Y9" s="448">
        <v>1357.1411771907244</v>
      </c>
      <c r="Z9" s="448">
        <v>1376.9846869091891</v>
      </c>
      <c r="AA9" s="448">
        <v>2084.6112254973987</v>
      </c>
      <c r="AB9" s="448">
        <v>2374.0451331962363</v>
      </c>
      <c r="AC9" s="448">
        <v>2862.5424767200834</v>
      </c>
      <c r="AD9" s="455">
        <v>2989.2180047053821</v>
      </c>
      <c r="AE9" s="448">
        <v>2759.9489793095859</v>
      </c>
      <c r="AF9" s="448">
        <v>2049.6908752560203</v>
      </c>
      <c r="AG9" s="448">
        <v>1494.4054905439757</v>
      </c>
      <c r="AH9" s="448">
        <v>1330.8747495701086</v>
      </c>
      <c r="AI9" s="448">
        <v>1267.6167350425619</v>
      </c>
      <c r="AJ9" s="448">
        <v>1297.1969000635022</v>
      </c>
      <c r="AK9" s="448">
        <v>1407.291136844331</v>
      </c>
      <c r="AL9" s="448">
        <v>1429.6014724543452</v>
      </c>
      <c r="AM9" s="448">
        <v>2164.2937287990449</v>
      </c>
      <c r="AN9" s="448">
        <v>2459.2431583352591</v>
      </c>
      <c r="AO9" s="448">
        <v>2951.1965759039717</v>
      </c>
    </row>
    <row r="10" spans="1:41" x14ac:dyDescent="0.25">
      <c r="A10" s="520" t="s">
        <v>4</v>
      </c>
      <c r="B10" s="514" t="s">
        <v>125</v>
      </c>
      <c r="C10" s="514"/>
      <c r="D10" s="303" t="s">
        <v>22</v>
      </c>
      <c r="E10" s="287" t="s">
        <v>23</v>
      </c>
      <c r="F10" s="519">
        <v>174.76901105658126</v>
      </c>
      <c r="G10" s="448">
        <v>147.37829192809369</v>
      </c>
      <c r="H10" s="448">
        <v>103.38672032354611</v>
      </c>
      <c r="I10" s="448">
        <v>46.346072183800878</v>
      </c>
      <c r="J10" s="448">
        <v>26.74667800167083</v>
      </c>
      <c r="K10" s="448">
        <v>15.62823905214872</v>
      </c>
      <c r="L10" s="448">
        <v>13.320273179970892</v>
      </c>
      <c r="M10" s="448">
        <v>12.89353706717864</v>
      </c>
      <c r="N10" s="448">
        <v>14.402575430516661</v>
      </c>
      <c r="O10" s="448">
        <v>28.589640565868397</v>
      </c>
      <c r="P10" s="448">
        <v>74.572955240798166</v>
      </c>
      <c r="Q10" s="449">
        <v>137.35750309912095</v>
      </c>
      <c r="R10" s="448">
        <v>170.99155642415269</v>
      </c>
      <c r="S10" s="448">
        <v>144.64186449533165</v>
      </c>
      <c r="T10" s="448">
        <v>101.62699576636676</v>
      </c>
      <c r="U10" s="448">
        <v>45.192700312117474</v>
      </c>
      <c r="V10" s="448">
        <v>26.183564558354373</v>
      </c>
      <c r="W10" s="448">
        <v>15.382548168924046</v>
      </c>
      <c r="X10" s="448">
        <v>13.117088826132287</v>
      </c>
      <c r="Y10" s="448">
        <v>12.887224464263515</v>
      </c>
      <c r="Z10" s="448">
        <v>14.167097049505443</v>
      </c>
      <c r="AA10" s="448">
        <v>27.671322752974046</v>
      </c>
      <c r="AB10" s="448">
        <v>72.037845623037711</v>
      </c>
      <c r="AC10" s="448">
        <v>133.9181885093677</v>
      </c>
      <c r="AD10" s="455">
        <v>169.1046874770322</v>
      </c>
      <c r="AE10" s="448">
        <v>143.32364738801294</v>
      </c>
      <c r="AF10" s="448">
        <v>100.63458123193216</v>
      </c>
      <c r="AG10" s="448">
        <v>44.581550798147362</v>
      </c>
      <c r="AH10" s="448">
        <v>25.868222425030488</v>
      </c>
      <c r="AI10" s="448">
        <v>15.207672190580695</v>
      </c>
      <c r="AJ10" s="448">
        <v>12.979927141779234</v>
      </c>
      <c r="AK10" s="448">
        <v>12.749007291156072</v>
      </c>
      <c r="AL10" s="448">
        <v>14.004823124610235</v>
      </c>
      <c r="AM10" s="448">
        <v>27.233541893756854</v>
      </c>
      <c r="AN10" s="448">
        <v>71.134984498812543</v>
      </c>
      <c r="AO10" s="448">
        <v>132.59782519684742</v>
      </c>
    </row>
    <row r="11" spans="1:41" x14ac:dyDescent="0.25">
      <c r="A11" s="525" t="s">
        <v>4</v>
      </c>
      <c r="B11" s="514" t="s">
        <v>592</v>
      </c>
      <c r="C11" s="514" t="s">
        <v>445</v>
      </c>
      <c r="D11" s="303" t="s">
        <v>13</v>
      </c>
      <c r="E11" s="287" t="s">
        <v>14</v>
      </c>
      <c r="F11" s="519">
        <v>1529310.9514666835</v>
      </c>
      <c r="G11" s="448">
        <v>1328918.2326320196</v>
      </c>
      <c r="H11" s="448">
        <v>982336.45533602475</v>
      </c>
      <c r="I11" s="448">
        <v>547553.35255957034</v>
      </c>
      <c r="J11" s="448">
        <v>330071.13530519971</v>
      </c>
      <c r="K11" s="448">
        <v>248483.03205945005</v>
      </c>
      <c r="L11" s="448">
        <v>237690.04391221207</v>
      </c>
      <c r="M11" s="448">
        <v>249204.65419470667</v>
      </c>
      <c r="N11" s="448">
        <v>263992.90097121632</v>
      </c>
      <c r="O11" s="448">
        <v>408198.98788675055</v>
      </c>
      <c r="P11" s="448">
        <v>707222.80537265376</v>
      </c>
      <c r="Q11" s="449">
        <v>1259131.9696916731</v>
      </c>
      <c r="R11" s="448">
        <v>1507043.3506072389</v>
      </c>
      <c r="S11" s="448">
        <v>1322296.7801779734</v>
      </c>
      <c r="T11" s="448">
        <v>971800.71354845376</v>
      </c>
      <c r="U11" s="448">
        <v>539491.89045517915</v>
      </c>
      <c r="V11" s="448">
        <v>327012.68121002289</v>
      </c>
      <c r="W11" s="448">
        <v>245570.77932517292</v>
      </c>
      <c r="X11" s="448">
        <v>233380.137437639</v>
      </c>
      <c r="Y11" s="448">
        <v>248411.89546214443</v>
      </c>
      <c r="Z11" s="448">
        <v>259644.53400152593</v>
      </c>
      <c r="AA11" s="448">
        <v>400347.97725581611</v>
      </c>
      <c r="AB11" s="448">
        <v>690527.53564361855</v>
      </c>
      <c r="AC11" s="448">
        <v>1238541.6212791312</v>
      </c>
      <c r="AD11" s="455">
        <v>1502828.1354113731</v>
      </c>
      <c r="AE11" s="448">
        <v>1316289.9409766523</v>
      </c>
      <c r="AF11" s="448">
        <v>967114.49864145077</v>
      </c>
      <c r="AG11" s="448">
        <v>536765.29082305275</v>
      </c>
      <c r="AH11" s="448">
        <v>324503.50684852427</v>
      </c>
      <c r="AI11" s="448">
        <v>243210.86199178538</v>
      </c>
      <c r="AJ11" s="448">
        <v>230857.58598070414</v>
      </c>
      <c r="AK11" s="448">
        <v>245677.97988766007</v>
      </c>
      <c r="AL11" s="448">
        <v>256887.43786635526</v>
      </c>
      <c r="AM11" s="448">
        <v>396653.92857587751</v>
      </c>
      <c r="AN11" s="448">
        <v>685528.10735807207</v>
      </c>
      <c r="AO11" s="448">
        <v>1231102.3240612596</v>
      </c>
    </row>
    <row r="12" spans="1:41" x14ac:dyDescent="0.25">
      <c r="A12" s="525" t="s">
        <v>4</v>
      </c>
      <c r="B12" s="514" t="s">
        <v>593</v>
      </c>
      <c r="C12" s="514" t="s">
        <v>446</v>
      </c>
      <c r="D12" s="480" t="s">
        <v>13</v>
      </c>
      <c r="E12" s="287" t="s">
        <v>14</v>
      </c>
      <c r="F12" s="519">
        <v>291297.3240888922</v>
      </c>
      <c r="G12" s="448">
        <v>234514.98222917996</v>
      </c>
      <c r="H12" s="448">
        <v>121412.37088422777</v>
      </c>
      <c r="I12" s="448">
        <v>28818.597503135308</v>
      </c>
      <c r="J12" s="448">
        <v>13752.96397105</v>
      </c>
      <c r="K12" s="448">
        <v>10353.459669143762</v>
      </c>
      <c r="L12" s="448">
        <v>7351.2384715117205</v>
      </c>
      <c r="M12" s="448">
        <v>7707.3604390115543</v>
      </c>
      <c r="N12" s="448">
        <v>8164.7288960170072</v>
      </c>
      <c r="O12" s="448">
        <v>17008.291161947956</v>
      </c>
      <c r="P12" s="448">
        <v>61497.635249795945</v>
      </c>
      <c r="Q12" s="449">
        <v>139903.55218796365</v>
      </c>
      <c r="R12" s="448">
        <v>287055.8763061408</v>
      </c>
      <c r="S12" s="448">
        <v>233346.49061964243</v>
      </c>
      <c r="T12" s="448">
        <v>120110.20055093247</v>
      </c>
      <c r="U12" s="448">
        <v>28394.310023956823</v>
      </c>
      <c r="V12" s="448">
        <v>13625.528383750967</v>
      </c>
      <c r="W12" s="448">
        <v>10232.115805215548</v>
      </c>
      <c r="X12" s="448">
        <v>7217.9423949785323</v>
      </c>
      <c r="Y12" s="448">
        <v>7682.8421276951949</v>
      </c>
      <c r="Z12" s="448">
        <v>8030.2433196348302</v>
      </c>
      <c r="AA12" s="448">
        <v>16681.165718992354</v>
      </c>
      <c r="AB12" s="448">
        <v>60045.872664662449</v>
      </c>
      <c r="AC12" s="448">
        <v>137615.7356976812</v>
      </c>
      <c r="AD12" s="455">
        <v>286252.97817359492</v>
      </c>
      <c r="AE12" s="448">
        <v>232286.46017235046</v>
      </c>
      <c r="AF12" s="448">
        <v>119531.00545006694</v>
      </c>
      <c r="AG12" s="448">
        <v>28250.804780160695</v>
      </c>
      <c r="AH12" s="448">
        <v>13520.979452021858</v>
      </c>
      <c r="AI12" s="448">
        <v>10133.785916324401</v>
      </c>
      <c r="AJ12" s="448">
        <v>7139.9253396094127</v>
      </c>
      <c r="AK12" s="448">
        <v>7598.2880377626898</v>
      </c>
      <c r="AL12" s="448">
        <v>7944.9723051450155</v>
      </c>
      <c r="AM12" s="448">
        <v>16527.247023994911</v>
      </c>
      <c r="AN12" s="448">
        <v>59611.139770267102</v>
      </c>
      <c r="AO12" s="448">
        <v>136789.14711791769</v>
      </c>
    </row>
    <row r="13" spans="1:41" x14ac:dyDescent="0.25">
      <c r="A13" s="524" t="s">
        <v>574</v>
      </c>
      <c r="B13" s="521"/>
      <c r="C13" s="514"/>
      <c r="D13" s="514"/>
      <c r="E13" s="522"/>
      <c r="F13" s="523">
        <v>1828456.6338801703</v>
      </c>
      <c r="G13" s="453">
        <v>1570130.2747407737</v>
      </c>
      <c r="H13" s="453">
        <v>1108569.7494274622</v>
      </c>
      <c r="I13" s="453">
        <v>579970.50121419074</v>
      </c>
      <c r="J13" s="453">
        <v>346632.60533245222</v>
      </c>
      <c r="K13" s="453">
        <v>261535.73183291295</v>
      </c>
      <c r="L13" s="453">
        <v>247712.81094320907</v>
      </c>
      <c r="M13" s="453">
        <v>259757.08342911687</v>
      </c>
      <c r="N13" s="453">
        <v>275216.30310938664</v>
      </c>
      <c r="O13" s="453">
        <v>429642.0802026036</v>
      </c>
      <c r="P13" s="453">
        <v>774136.90727472154</v>
      </c>
      <c r="Q13" s="454">
        <v>1406550.3723263578</v>
      </c>
      <c r="R13" s="457">
        <v>1802387.2947673697</v>
      </c>
      <c r="S13" s="457">
        <v>1562829.3718809218</v>
      </c>
      <c r="T13" s="457">
        <v>1096902.7501517758</v>
      </c>
      <c r="U13" s="457">
        <v>571553.0023894849</v>
      </c>
      <c r="V13" s="457">
        <v>343522.33182930865</v>
      </c>
      <c r="W13" s="457">
        <v>258587.33971902591</v>
      </c>
      <c r="X13" s="457">
        <v>243324.22333998498</v>
      </c>
      <c r="Y13" s="457">
        <v>259104.07901912261</v>
      </c>
      <c r="Z13" s="457">
        <v>270829.2550126799</v>
      </c>
      <c r="AA13" s="457">
        <v>421562.42828854051</v>
      </c>
      <c r="AB13" s="457">
        <v>755846.79372508521</v>
      </c>
      <c r="AC13" s="457">
        <v>1383394.65567513</v>
      </c>
      <c r="AD13" s="458">
        <v>1797516.3485491392</v>
      </c>
      <c r="AE13" s="457">
        <v>1555871.4035070243</v>
      </c>
      <c r="AF13" s="457">
        <v>1091721.0178628648</v>
      </c>
      <c r="AG13" s="457">
        <v>568750.27946739527</v>
      </c>
      <c r="AH13" s="457">
        <v>340957.66687628656</v>
      </c>
      <c r="AI13" s="457">
        <v>256170.03619282067</v>
      </c>
      <c r="AJ13" s="457">
        <v>240763.03964531087</v>
      </c>
      <c r="AK13" s="457">
        <v>256327.32063442655</v>
      </c>
      <c r="AL13" s="457">
        <v>268031.60288777755</v>
      </c>
      <c r="AM13" s="457">
        <v>417789.92601377441</v>
      </c>
      <c r="AN13" s="457">
        <v>750504.12773543142</v>
      </c>
      <c r="AO13" s="457">
        <v>1375240.2859497243</v>
      </c>
    </row>
    <row r="14" spans="1:41" x14ac:dyDescent="0.25">
      <c r="A14" s="524" t="s">
        <v>8</v>
      </c>
      <c r="B14" s="521" t="s">
        <v>571</v>
      </c>
      <c r="C14" s="514"/>
      <c r="D14" s="303" t="s">
        <v>5</v>
      </c>
      <c r="E14" s="287" t="s">
        <v>6</v>
      </c>
      <c r="F14" s="519">
        <v>0</v>
      </c>
      <c r="G14" s="448">
        <v>0</v>
      </c>
      <c r="H14" s="448">
        <v>0</v>
      </c>
      <c r="I14" s="448">
        <v>0</v>
      </c>
      <c r="J14" s="448">
        <v>0</v>
      </c>
      <c r="K14" s="448">
        <v>0</v>
      </c>
      <c r="L14" s="448">
        <v>0</v>
      </c>
      <c r="M14" s="448">
        <v>0</v>
      </c>
      <c r="N14" s="448">
        <v>0</v>
      </c>
      <c r="O14" s="448">
        <v>0</v>
      </c>
      <c r="P14" s="448">
        <v>0</v>
      </c>
      <c r="Q14" s="449">
        <v>0</v>
      </c>
      <c r="R14" s="457">
        <v>0</v>
      </c>
      <c r="S14" s="457">
        <v>0</v>
      </c>
      <c r="T14" s="457">
        <v>0</v>
      </c>
      <c r="U14" s="457">
        <v>0</v>
      </c>
      <c r="V14" s="457">
        <v>0</v>
      </c>
      <c r="W14" s="457">
        <v>0</v>
      </c>
      <c r="X14" s="457">
        <v>0</v>
      </c>
      <c r="Y14" s="457">
        <v>0</v>
      </c>
      <c r="Z14" s="457">
        <v>0</v>
      </c>
      <c r="AA14" s="457">
        <v>0</v>
      </c>
      <c r="AB14" s="457">
        <v>0</v>
      </c>
      <c r="AC14" s="457">
        <v>0</v>
      </c>
      <c r="AD14" s="458">
        <v>0</v>
      </c>
      <c r="AE14" s="457">
        <v>0</v>
      </c>
      <c r="AF14" s="457">
        <v>0</v>
      </c>
      <c r="AG14" s="457">
        <v>0</v>
      </c>
      <c r="AH14" s="457">
        <v>0</v>
      </c>
      <c r="AI14" s="457">
        <v>0</v>
      </c>
      <c r="AJ14" s="457">
        <v>0</v>
      </c>
      <c r="AK14" s="457">
        <v>0</v>
      </c>
      <c r="AL14" s="457">
        <v>0</v>
      </c>
      <c r="AM14" s="457">
        <v>0</v>
      </c>
      <c r="AN14" s="457">
        <v>0</v>
      </c>
      <c r="AO14" s="457">
        <v>0</v>
      </c>
    </row>
    <row r="15" spans="1:41" x14ac:dyDescent="0.25">
      <c r="A15" s="520" t="s">
        <v>8</v>
      </c>
      <c r="B15" s="514" t="s">
        <v>575</v>
      </c>
      <c r="C15" s="514"/>
      <c r="D15" s="303" t="s">
        <v>5</v>
      </c>
      <c r="E15" s="287" t="s">
        <v>10</v>
      </c>
      <c r="F15" s="519">
        <v>1423.2928856190063</v>
      </c>
      <c r="G15" s="448">
        <v>1389.2835269335794</v>
      </c>
      <c r="H15" s="448">
        <v>1648.5774193020554</v>
      </c>
      <c r="I15" s="448">
        <v>3864.621374219159</v>
      </c>
      <c r="J15" s="448">
        <v>6300.1513467776504</v>
      </c>
      <c r="K15" s="448">
        <v>7757.7498426669626</v>
      </c>
      <c r="L15" s="448">
        <v>7610.2523046788783</v>
      </c>
      <c r="M15" s="448">
        <v>8632.496235452174</v>
      </c>
      <c r="N15" s="448">
        <v>8809.202594149152</v>
      </c>
      <c r="O15" s="448">
        <v>10137.998801393907</v>
      </c>
      <c r="P15" s="448">
        <v>9514.0040202550063</v>
      </c>
      <c r="Q15" s="449">
        <v>3815.6661942184428</v>
      </c>
      <c r="R15" s="448">
        <v>1473.6636053583074</v>
      </c>
      <c r="S15" s="448">
        <v>1259.1612146264918</v>
      </c>
      <c r="T15" s="448">
        <v>1671.2906125677127</v>
      </c>
      <c r="U15" s="448">
        <v>3052.431795048054</v>
      </c>
      <c r="V15" s="448">
        <v>4684.0522226466455</v>
      </c>
      <c r="W15" s="448">
        <v>5713.5473770649041</v>
      </c>
      <c r="X15" s="448">
        <v>7402.7310408120866</v>
      </c>
      <c r="Y15" s="448">
        <v>6944.2115468104193</v>
      </c>
      <c r="Z15" s="448">
        <v>6957.5193144778632</v>
      </c>
      <c r="AA15" s="448">
        <v>11265.272992741122</v>
      </c>
      <c r="AB15" s="448">
        <v>6930.7913559313411</v>
      </c>
      <c r="AC15" s="448">
        <v>3553.0761802994793</v>
      </c>
      <c r="AD15" s="455">
        <v>1491.6660105822477</v>
      </c>
      <c r="AE15" s="448">
        <v>1269.9198371031255</v>
      </c>
      <c r="AF15" s="448">
        <v>1685.0335260595716</v>
      </c>
      <c r="AG15" s="448">
        <v>3075.4743062367816</v>
      </c>
      <c r="AH15" s="448">
        <v>4691.3193773405947</v>
      </c>
      <c r="AI15" s="448">
        <v>5700.2117631043129</v>
      </c>
      <c r="AJ15" s="448">
        <v>7370.8166153770353</v>
      </c>
      <c r="AK15" s="448">
        <v>6911.8845916474429</v>
      </c>
      <c r="AL15" s="448">
        <v>6928.4004287509351</v>
      </c>
      <c r="AM15" s="448">
        <v>11254.706557952653</v>
      </c>
      <c r="AN15" s="448">
        <v>6956.3112199808329</v>
      </c>
      <c r="AO15" s="448">
        <v>3572.005024248881</v>
      </c>
    </row>
    <row r="16" spans="1:41" x14ac:dyDescent="0.25">
      <c r="A16" s="525" t="s">
        <v>8</v>
      </c>
      <c r="B16" s="514" t="s">
        <v>594</v>
      </c>
      <c r="C16" s="514" t="s">
        <v>445</v>
      </c>
      <c r="D16" s="303" t="s">
        <v>18</v>
      </c>
      <c r="E16" s="514" t="s">
        <v>19</v>
      </c>
      <c r="F16" s="519">
        <v>53221.663988972621</v>
      </c>
      <c r="G16" s="448">
        <v>50656.904337696928</v>
      </c>
      <c r="H16" s="448">
        <v>48064.980365007941</v>
      </c>
      <c r="I16" s="448">
        <v>53622.383230536841</v>
      </c>
      <c r="J16" s="448">
        <v>51598.717509468974</v>
      </c>
      <c r="K16" s="448">
        <v>53529.316301649262</v>
      </c>
      <c r="L16" s="448">
        <v>55993.476237330666</v>
      </c>
      <c r="M16" s="448">
        <v>59383.135555283428</v>
      </c>
      <c r="N16" s="448">
        <v>62143.029561906136</v>
      </c>
      <c r="O16" s="448">
        <v>91116.818928783337</v>
      </c>
      <c r="P16" s="448">
        <v>79160.084184823078</v>
      </c>
      <c r="Q16" s="449">
        <v>69424.457663557085</v>
      </c>
      <c r="R16" s="448">
        <v>57512.351658805674</v>
      </c>
      <c r="S16" s="448">
        <v>54977.432705065366</v>
      </c>
      <c r="T16" s="448">
        <v>50555.529094097234</v>
      </c>
      <c r="U16" s="448">
        <v>56363.009653285961</v>
      </c>
      <c r="V16" s="448">
        <v>54918.828637043953</v>
      </c>
      <c r="W16" s="448">
        <v>56818.676682968835</v>
      </c>
      <c r="X16" s="448">
        <v>58922.013667083309</v>
      </c>
      <c r="Y16" s="448">
        <v>63060.663452457113</v>
      </c>
      <c r="Z16" s="448">
        <v>64835.810971496692</v>
      </c>
      <c r="AA16" s="448">
        <v>94280.130875764662</v>
      </c>
      <c r="AB16" s="448">
        <v>80895.414591458117</v>
      </c>
      <c r="AC16" s="448">
        <v>70938.855205998436</v>
      </c>
      <c r="AD16" s="455">
        <v>59262.478706112655</v>
      </c>
      <c r="AE16" s="448">
        <v>56427.035984424692</v>
      </c>
      <c r="AF16" s="448">
        <v>52064.8317131812</v>
      </c>
      <c r="AG16" s="448">
        <v>58328.559149938323</v>
      </c>
      <c r="AH16" s="448">
        <v>56892.958819096966</v>
      </c>
      <c r="AI16" s="448">
        <v>58900.83777480702</v>
      </c>
      <c r="AJ16" s="448">
        <v>61078.974809888605</v>
      </c>
      <c r="AK16" s="448">
        <v>65390.921925946743</v>
      </c>
      <c r="AL16" s="448">
        <v>67313.290927494556</v>
      </c>
      <c r="AM16" s="448">
        <v>97883.909243596892</v>
      </c>
      <c r="AN16" s="448">
        <v>83798.531078007654</v>
      </c>
      <c r="AO16" s="448">
        <v>73135.860265860494</v>
      </c>
    </row>
    <row r="17" spans="1:208" x14ac:dyDescent="0.25">
      <c r="A17" s="525" t="s">
        <v>8</v>
      </c>
      <c r="B17" s="514" t="s">
        <v>595</v>
      </c>
      <c r="C17" s="514" t="s">
        <v>446</v>
      </c>
      <c r="D17" s="303" t="s">
        <v>18</v>
      </c>
      <c r="E17" s="514" t="s">
        <v>19</v>
      </c>
      <c r="F17" s="519">
        <v>113096.03597656681</v>
      </c>
      <c r="G17" s="448">
        <v>102848.86638259678</v>
      </c>
      <c r="H17" s="448">
        <v>69166.67906184071</v>
      </c>
      <c r="I17" s="448">
        <v>31492.510786188301</v>
      </c>
      <c r="J17" s="448">
        <v>23182.032504254181</v>
      </c>
      <c r="K17" s="448">
        <v>17843.105433883087</v>
      </c>
      <c r="L17" s="448">
        <v>17682.150390735998</v>
      </c>
      <c r="M17" s="448">
        <v>19794.378518427809</v>
      </c>
      <c r="N17" s="448">
        <v>19624.114598496672</v>
      </c>
      <c r="O17" s="448">
        <v>33700.741247632192</v>
      </c>
      <c r="P17" s="448">
        <v>64767.341605764326</v>
      </c>
      <c r="Q17" s="449">
        <v>104136.68649533563</v>
      </c>
      <c r="R17" s="448">
        <v>122213.74727496205</v>
      </c>
      <c r="S17" s="448">
        <v>111620.84821937513</v>
      </c>
      <c r="T17" s="448">
        <v>72750.639428091148</v>
      </c>
      <c r="U17" s="448">
        <v>33102.085034469535</v>
      </c>
      <c r="V17" s="448">
        <v>24673.676634034247</v>
      </c>
      <c r="W17" s="448">
        <v>18939.558894322945</v>
      </c>
      <c r="X17" s="448">
        <v>18606.951684342097</v>
      </c>
      <c r="Y17" s="448">
        <v>21020.221150819038</v>
      </c>
      <c r="Z17" s="448">
        <v>20474.4666225779</v>
      </c>
      <c r="AA17" s="448">
        <v>34870.733337611593</v>
      </c>
      <c r="AB17" s="448">
        <v>66187.157393011163</v>
      </c>
      <c r="AC17" s="448">
        <v>106408.28280899764</v>
      </c>
      <c r="AD17" s="455">
        <v>125932.76725048937</v>
      </c>
      <c r="AE17" s="448">
        <v>114563.98215019557</v>
      </c>
      <c r="AF17" s="448">
        <v>74922.562709211983</v>
      </c>
      <c r="AG17" s="448">
        <v>34256.4553737733</v>
      </c>
      <c r="AH17" s="448">
        <v>25560.60468684067</v>
      </c>
      <c r="AI17" s="448">
        <v>19633.612591602341</v>
      </c>
      <c r="AJ17" s="448">
        <v>19288.097308385873</v>
      </c>
      <c r="AK17" s="448">
        <v>21796.973975315581</v>
      </c>
      <c r="AL17" s="448">
        <v>21256.828713945648</v>
      </c>
      <c r="AM17" s="448">
        <v>36203.63766543995</v>
      </c>
      <c r="AN17" s="448">
        <v>68562.434518369875</v>
      </c>
      <c r="AO17" s="448">
        <v>109703.79039879072</v>
      </c>
    </row>
    <row r="18" spans="1:208" x14ac:dyDescent="0.25">
      <c r="A18" s="524" t="s">
        <v>578</v>
      </c>
      <c r="B18" s="521"/>
      <c r="C18" s="514"/>
      <c r="D18" s="514"/>
      <c r="E18" s="522"/>
      <c r="F18" s="523">
        <v>167740.99285115843</v>
      </c>
      <c r="G18" s="453">
        <v>154895.05424722729</v>
      </c>
      <c r="H18" s="453">
        <v>118880.23684615071</v>
      </c>
      <c r="I18" s="453">
        <v>88979.515390944303</v>
      </c>
      <c r="J18" s="453">
        <v>81080.901360500808</v>
      </c>
      <c r="K18" s="453">
        <v>79130.171578199312</v>
      </c>
      <c r="L18" s="453">
        <v>81285.878932745545</v>
      </c>
      <c r="M18" s="453">
        <v>87810.010309163408</v>
      </c>
      <c r="N18" s="453">
        <v>90576.346754551952</v>
      </c>
      <c r="O18" s="453">
        <v>134955.55897780944</v>
      </c>
      <c r="P18" s="453">
        <v>153441.42981084241</v>
      </c>
      <c r="Q18" s="454">
        <v>177376.81035311116</v>
      </c>
      <c r="R18" s="457">
        <v>181199.76253912604</v>
      </c>
      <c r="S18" s="457">
        <v>167857.44213906699</v>
      </c>
      <c r="T18" s="457">
        <v>124977.45913475609</v>
      </c>
      <c r="U18" s="457">
        <v>92517.526482803543</v>
      </c>
      <c r="V18" s="457">
        <v>84276.557493724846</v>
      </c>
      <c r="W18" s="457">
        <v>81471.782954356691</v>
      </c>
      <c r="X18" s="457">
        <v>84931.6963922375</v>
      </c>
      <c r="Y18" s="457">
        <v>91025.096150086567</v>
      </c>
      <c r="Z18" s="457">
        <v>92267.796908552467</v>
      </c>
      <c r="AA18" s="457">
        <v>140416.13720611739</v>
      </c>
      <c r="AB18" s="457">
        <v>154013.36334040063</v>
      </c>
      <c r="AC18" s="457">
        <v>180900.21419529556</v>
      </c>
      <c r="AD18" s="458">
        <v>186686.91196718428</v>
      </c>
      <c r="AE18" s="457">
        <v>172260.93797172338</v>
      </c>
      <c r="AF18" s="457">
        <v>128672.42794845277</v>
      </c>
      <c r="AG18" s="457">
        <v>95660.488829948416</v>
      </c>
      <c r="AH18" s="457">
        <v>87144.882883278231</v>
      </c>
      <c r="AI18" s="457">
        <v>84234.662129513672</v>
      </c>
      <c r="AJ18" s="457">
        <v>87737.888733651504</v>
      </c>
      <c r="AK18" s="457">
        <v>94099.780492909777</v>
      </c>
      <c r="AL18" s="457">
        <v>95498.520070191138</v>
      </c>
      <c r="AM18" s="457">
        <v>145342.2534669895</v>
      </c>
      <c r="AN18" s="457">
        <v>159317.27681635838</v>
      </c>
      <c r="AO18" s="457">
        <v>186411.65568890009</v>
      </c>
    </row>
    <row r="19" spans="1:208" x14ac:dyDescent="0.25">
      <c r="A19" s="524" t="s">
        <v>7</v>
      </c>
      <c r="B19" s="521" t="s">
        <v>571</v>
      </c>
      <c r="C19" s="514"/>
      <c r="D19" s="303" t="s">
        <v>5</v>
      </c>
      <c r="E19" s="287" t="s">
        <v>6</v>
      </c>
      <c r="F19" s="526">
        <v>3913.443060487059</v>
      </c>
      <c r="G19" s="457">
        <v>3194.0579106230489</v>
      </c>
      <c r="H19" s="457">
        <v>2216.1832306869492</v>
      </c>
      <c r="I19" s="457">
        <v>1708.7231896713001</v>
      </c>
      <c r="J19" s="457">
        <v>1235.2235523645272</v>
      </c>
      <c r="K19" s="457">
        <v>1201.3890921754135</v>
      </c>
      <c r="L19" s="457">
        <v>1152.3016378991128</v>
      </c>
      <c r="M19" s="457">
        <v>1219.1026189392985</v>
      </c>
      <c r="N19" s="457">
        <v>1352.68366640927</v>
      </c>
      <c r="O19" s="457">
        <v>1875.9341123825275</v>
      </c>
      <c r="P19" s="457">
        <v>2367.9365891954858</v>
      </c>
      <c r="Q19" s="459">
        <v>3589.4751373629229</v>
      </c>
      <c r="R19" s="457">
        <v>4091.5522400669242</v>
      </c>
      <c r="S19" s="457">
        <v>3414.04587809547</v>
      </c>
      <c r="T19" s="457">
        <v>2274.7189325917348</v>
      </c>
      <c r="U19" s="457">
        <v>1708.0862350705556</v>
      </c>
      <c r="V19" s="457">
        <v>1234.0573261169941</v>
      </c>
      <c r="W19" s="457">
        <v>1212.887805984828</v>
      </c>
      <c r="X19" s="457">
        <v>1146.5141367176525</v>
      </c>
      <c r="Y19" s="457">
        <v>1285.8820887804234</v>
      </c>
      <c r="Z19" s="457">
        <v>1383.1581662565618</v>
      </c>
      <c r="AA19" s="457">
        <v>1899.0418794665634</v>
      </c>
      <c r="AB19" s="457">
        <v>2217.744569400867</v>
      </c>
      <c r="AC19" s="457">
        <v>3326.5261583732499</v>
      </c>
      <c r="AD19" s="458">
        <v>4139.2259197952335</v>
      </c>
      <c r="AE19" s="457">
        <v>3444.8860620872283</v>
      </c>
      <c r="AF19" s="457">
        <v>2294.526546787547</v>
      </c>
      <c r="AG19" s="457">
        <v>1721.9190162367206</v>
      </c>
      <c r="AH19" s="457">
        <v>1236.5624164343035</v>
      </c>
      <c r="AI19" s="457">
        <v>1209.991763268278</v>
      </c>
      <c r="AJ19" s="457">
        <v>1141.5821093048717</v>
      </c>
      <c r="AK19" s="457">
        <v>1279.371180728451</v>
      </c>
      <c r="AL19" s="457">
        <v>1377.0872893925241</v>
      </c>
      <c r="AM19" s="457">
        <v>1896.0771323434535</v>
      </c>
      <c r="AN19" s="457">
        <v>2223.39229175009</v>
      </c>
      <c r="AO19" s="457">
        <v>3345.4948560312578</v>
      </c>
    </row>
    <row r="20" spans="1:208" x14ac:dyDescent="0.25">
      <c r="A20" s="520" t="s">
        <v>7</v>
      </c>
      <c r="B20" s="514" t="s">
        <v>575</v>
      </c>
      <c r="C20" s="514"/>
      <c r="D20" s="303" t="s">
        <v>5</v>
      </c>
      <c r="E20" s="287" t="s">
        <v>10</v>
      </c>
      <c r="F20" s="519">
        <v>231.08782476767317</v>
      </c>
      <c r="G20" s="448">
        <v>225.56601769636131</v>
      </c>
      <c r="H20" s="448">
        <v>267.66533693585473</v>
      </c>
      <c r="I20" s="448">
        <v>627.46533474770808</v>
      </c>
      <c r="J20" s="448">
        <v>1022.9013895483581</v>
      </c>
      <c r="K20" s="448">
        <v>1259.55912120926</v>
      </c>
      <c r="L20" s="448">
        <v>1235.6112145228369</v>
      </c>
      <c r="M20" s="448">
        <v>1401.5841697249689</v>
      </c>
      <c r="N20" s="448">
        <v>1430.2744614186154</v>
      </c>
      <c r="O20" s="448">
        <v>1646.0196732399875</v>
      </c>
      <c r="P20" s="448">
        <v>1544.7070073110381</v>
      </c>
      <c r="Q20" s="449">
        <v>619.5169032113871</v>
      </c>
      <c r="R20" s="448">
        <v>239.26608531695905</v>
      </c>
      <c r="S20" s="448">
        <v>204.43917696764717</v>
      </c>
      <c r="T20" s="448">
        <v>271.35308278094533</v>
      </c>
      <c r="U20" s="448">
        <v>495.5970980368956</v>
      </c>
      <c r="V20" s="448">
        <v>760.5092740689405</v>
      </c>
      <c r="W20" s="448">
        <v>927.65954808995355</v>
      </c>
      <c r="X20" s="448">
        <v>1201.9177717012219</v>
      </c>
      <c r="Y20" s="448">
        <v>1127.4719049699083</v>
      </c>
      <c r="Z20" s="448">
        <v>1129.632572752243</v>
      </c>
      <c r="AA20" s="448">
        <v>1829.0454885358122</v>
      </c>
      <c r="AB20" s="448">
        <v>1125.2929839975993</v>
      </c>
      <c r="AC20" s="448">
        <v>576.88242106412679</v>
      </c>
      <c r="AD20" s="455">
        <v>242.18898102298041</v>
      </c>
      <c r="AE20" s="448">
        <v>206.18596196934456</v>
      </c>
      <c r="AF20" s="448">
        <v>273.58440144830644</v>
      </c>
      <c r="AG20" s="448">
        <v>499.33831240084714</v>
      </c>
      <c r="AH20" s="448">
        <v>761.68917947522971</v>
      </c>
      <c r="AI20" s="448">
        <v>925.49435914449327</v>
      </c>
      <c r="AJ20" s="448">
        <v>1196.7361009242416</v>
      </c>
      <c r="AK20" s="448">
        <v>1122.2232552889782</v>
      </c>
      <c r="AL20" s="448">
        <v>1124.9047897145531</v>
      </c>
      <c r="AM20" s="448">
        <v>1827.3299073961266</v>
      </c>
      <c r="AN20" s="448">
        <v>1129.4364248390107</v>
      </c>
      <c r="AO20" s="448">
        <v>579.95573465813914</v>
      </c>
    </row>
    <row r="21" spans="1:208" x14ac:dyDescent="0.25">
      <c r="A21" s="520" t="s">
        <v>7</v>
      </c>
      <c r="B21" s="514" t="s">
        <v>125</v>
      </c>
      <c r="C21" s="514"/>
      <c r="D21" s="303" t="s">
        <v>22</v>
      </c>
      <c r="E21" s="514" t="s">
        <v>23</v>
      </c>
      <c r="F21" s="519">
        <v>930.21342063078748</v>
      </c>
      <c r="G21" s="448">
        <v>784.42547813451324</v>
      </c>
      <c r="H21" s="448">
        <v>550.27898927017964</v>
      </c>
      <c r="I21" s="448">
        <v>246.67839039804051</v>
      </c>
      <c r="J21" s="448">
        <v>142.3600138493062</v>
      </c>
      <c r="K21" s="448">
        <v>83.181781594154501</v>
      </c>
      <c r="L21" s="448">
        <v>70.89756246584119</v>
      </c>
      <c r="M21" s="448">
        <v>68.626246419664952</v>
      </c>
      <c r="N21" s="448">
        <v>76.658149383110171</v>
      </c>
      <c r="O21" s="448">
        <v>152.16923861159364</v>
      </c>
      <c r="P21" s="448">
        <v>396.91684104472859</v>
      </c>
      <c r="Q21" s="449">
        <v>731.08952230536636</v>
      </c>
      <c r="R21" s="448">
        <v>910.1078025142474</v>
      </c>
      <c r="S21" s="448">
        <v>769.86075921124029</v>
      </c>
      <c r="T21" s="448">
        <v>540.91280135273553</v>
      </c>
      <c r="U21" s="448">
        <v>240.53953324292038</v>
      </c>
      <c r="V21" s="448">
        <v>139.36282527941154</v>
      </c>
      <c r="W21" s="448">
        <v>81.874084334093723</v>
      </c>
      <c r="X21" s="448">
        <v>69.816107511898167</v>
      </c>
      <c r="Y21" s="448">
        <v>68.592647397073577</v>
      </c>
      <c r="Z21" s="448">
        <v>75.404808479246341</v>
      </c>
      <c r="AA21" s="448">
        <v>147.28146389229815</v>
      </c>
      <c r="AB21" s="448">
        <v>383.42364236520126</v>
      </c>
      <c r="AC21" s="448">
        <v>712.78366493501153</v>
      </c>
      <c r="AD21" s="455">
        <v>900.06488468246584</v>
      </c>
      <c r="AE21" s="448">
        <v>762.84450823448117</v>
      </c>
      <c r="AF21" s="448">
        <v>535.63064456087011</v>
      </c>
      <c r="AG21" s="448">
        <v>237.28667121394818</v>
      </c>
      <c r="AH21" s="448">
        <v>137.68440710484595</v>
      </c>
      <c r="AI21" s="448">
        <v>80.943301576798959</v>
      </c>
      <c r="AJ21" s="448">
        <v>69.086060240873508</v>
      </c>
      <c r="AK21" s="448">
        <v>67.856982254787184</v>
      </c>
      <c r="AL21" s="448">
        <v>74.541100537870591</v>
      </c>
      <c r="AM21" s="448">
        <v>144.9513618445886</v>
      </c>
      <c r="AN21" s="448">
        <v>378.61813634532592</v>
      </c>
      <c r="AO21" s="448">
        <v>705.75599071525392</v>
      </c>
    </row>
    <row r="22" spans="1:208" x14ac:dyDescent="0.25">
      <c r="A22" s="520" t="s">
        <v>7</v>
      </c>
      <c r="B22" s="514" t="s">
        <v>592</v>
      </c>
      <c r="C22" s="514" t="s">
        <v>445</v>
      </c>
      <c r="D22" s="303" t="s">
        <v>13</v>
      </c>
      <c r="E22" s="287" t="s">
        <v>14</v>
      </c>
      <c r="F22" s="519">
        <v>214483.02213634213</v>
      </c>
      <c r="G22" s="448">
        <v>186378.3153018319</v>
      </c>
      <c r="H22" s="448">
        <v>137770.86438379731</v>
      </c>
      <c r="I22" s="448">
        <v>76793.341292188576</v>
      </c>
      <c r="J22" s="448">
        <v>46291.864026957504</v>
      </c>
      <c r="K22" s="448">
        <v>34849.283995906495</v>
      </c>
      <c r="L22" s="448">
        <v>33335.587442905809</v>
      </c>
      <c r="M22" s="448">
        <v>34950.490160854104</v>
      </c>
      <c r="N22" s="448">
        <v>37024.514320350172</v>
      </c>
      <c r="O22" s="448">
        <v>57249.150325497889</v>
      </c>
      <c r="P22" s="448">
        <v>99186.685660357965</v>
      </c>
      <c r="Q22" s="449">
        <v>176590.92146626703</v>
      </c>
      <c r="R22" s="448">
        <v>211360.03245037995</v>
      </c>
      <c r="S22" s="448">
        <v>185449.66888632442</v>
      </c>
      <c r="T22" s="448">
        <v>136293.24615522244</v>
      </c>
      <c r="U22" s="448">
        <v>75662.736196260128</v>
      </c>
      <c r="V22" s="448">
        <v>45862.921517411189</v>
      </c>
      <c r="W22" s="448">
        <v>34440.845955837845</v>
      </c>
      <c r="X22" s="448">
        <v>32731.131060176798</v>
      </c>
      <c r="Y22" s="448">
        <v>34839.307220182782</v>
      </c>
      <c r="Z22" s="448">
        <v>36414.663924573833</v>
      </c>
      <c r="AA22" s="448">
        <v>56148.060658067974</v>
      </c>
      <c r="AB22" s="448">
        <v>96845.205071710734</v>
      </c>
      <c r="AC22" s="448">
        <v>173703.16332255738</v>
      </c>
      <c r="AD22" s="455">
        <v>210768.85634371749</v>
      </c>
      <c r="AE22" s="448">
        <v>184607.22083862635</v>
      </c>
      <c r="AF22" s="448">
        <v>135636.01321337337</v>
      </c>
      <c r="AG22" s="448">
        <v>75280.335659146702</v>
      </c>
      <c r="AH22" s="448">
        <v>45511.014470904316</v>
      </c>
      <c r="AI22" s="448">
        <v>34109.871930462912</v>
      </c>
      <c r="AJ22" s="448">
        <v>32377.347900866436</v>
      </c>
      <c r="AK22" s="448">
        <v>34455.880635733985</v>
      </c>
      <c r="AL22" s="448">
        <v>36027.986309518055</v>
      </c>
      <c r="AM22" s="448">
        <v>55629.977187840988</v>
      </c>
      <c r="AN22" s="448">
        <v>96144.044534928107</v>
      </c>
      <c r="AO22" s="448">
        <v>172659.81569706023</v>
      </c>
    </row>
    <row r="23" spans="1:208" x14ac:dyDescent="0.25">
      <c r="A23" s="520" t="s">
        <v>7</v>
      </c>
      <c r="B23" s="514" t="s">
        <v>593</v>
      </c>
      <c r="C23" s="514" t="s">
        <v>446</v>
      </c>
      <c r="D23" s="303" t="s">
        <v>13</v>
      </c>
      <c r="E23" s="287" t="s">
        <v>14</v>
      </c>
      <c r="F23" s="519">
        <v>40853.90897835089</v>
      </c>
      <c r="G23" s="448">
        <v>32890.290935617399</v>
      </c>
      <c r="H23" s="448">
        <v>17027.859642941239</v>
      </c>
      <c r="I23" s="448">
        <v>4041.7548048520343</v>
      </c>
      <c r="J23" s="448">
        <v>1928.8276677898978</v>
      </c>
      <c r="K23" s="448">
        <v>1452.0534998294386</v>
      </c>
      <c r="L23" s="448">
        <v>1030.9975497805931</v>
      </c>
      <c r="M23" s="448">
        <v>1080.9429946655919</v>
      </c>
      <c r="N23" s="448">
        <v>1145.0880717634084</v>
      </c>
      <c r="O23" s="448">
        <v>2385.381263562414</v>
      </c>
      <c r="P23" s="448">
        <v>8624.9291878572094</v>
      </c>
      <c r="Q23" s="449">
        <v>19621.213496251887</v>
      </c>
      <c r="R23" s="448">
        <v>40259.053800072383</v>
      </c>
      <c r="S23" s="448">
        <v>32726.412156410199</v>
      </c>
      <c r="T23" s="448">
        <v>16845.232670870184</v>
      </c>
      <c r="U23" s="448">
        <v>3982.249273487379</v>
      </c>
      <c r="V23" s="448">
        <v>1910.9550632254679</v>
      </c>
      <c r="W23" s="448">
        <v>1435.0352481599116</v>
      </c>
      <c r="X23" s="448">
        <v>1012.3030224796958</v>
      </c>
      <c r="Y23" s="448">
        <v>1077.5043470159633</v>
      </c>
      <c r="Z23" s="448">
        <v>1126.2267193167177</v>
      </c>
      <c r="AA23" s="448">
        <v>2339.5025274195009</v>
      </c>
      <c r="AB23" s="448">
        <v>8421.3221801487543</v>
      </c>
      <c r="AC23" s="448">
        <v>19300.351480284149</v>
      </c>
      <c r="AD23" s="455">
        <v>40146.44882737477</v>
      </c>
      <c r="AE23" s="448">
        <v>32577.744853875247</v>
      </c>
      <c r="AF23" s="448">
        <v>16764.001633113563</v>
      </c>
      <c r="AG23" s="448">
        <v>3962.1229294287773</v>
      </c>
      <c r="AH23" s="448">
        <v>1896.2922696210148</v>
      </c>
      <c r="AI23" s="448">
        <v>1421.2446637692894</v>
      </c>
      <c r="AJ23" s="448">
        <v>1001.3612752845298</v>
      </c>
      <c r="AK23" s="448">
        <v>1065.6457928577531</v>
      </c>
      <c r="AL23" s="448">
        <v>1114.2676178201471</v>
      </c>
      <c r="AM23" s="448">
        <v>2317.9157161600433</v>
      </c>
      <c r="AN23" s="448">
        <v>8360.3516986893956</v>
      </c>
      <c r="AO23" s="448">
        <v>19184.423966340022</v>
      </c>
    </row>
    <row r="24" spans="1:208" x14ac:dyDescent="0.25">
      <c r="A24" s="520" t="s">
        <v>7</v>
      </c>
      <c r="B24" s="514" t="s">
        <v>594</v>
      </c>
      <c r="C24" s="514" t="s">
        <v>445</v>
      </c>
      <c r="D24" s="303" t="s">
        <v>18</v>
      </c>
      <c r="E24" s="287" t="s">
        <v>19</v>
      </c>
      <c r="F24" s="519">
        <v>1050.1879119245825</v>
      </c>
      <c r="G24" s="448">
        <v>999.57920522725487</v>
      </c>
      <c r="H24" s="448">
        <v>948.43448293316226</v>
      </c>
      <c r="I24" s="448">
        <v>1058.0950398124576</v>
      </c>
      <c r="J24" s="448">
        <v>1018.1633819356583</v>
      </c>
      <c r="K24" s="448">
        <v>1056.2586116290408</v>
      </c>
      <c r="L24" s="448">
        <v>1104.8822506426136</v>
      </c>
      <c r="M24" s="448">
        <v>1171.7681571410294</v>
      </c>
      <c r="N24" s="448">
        <v>1226.2273210737619</v>
      </c>
      <c r="O24" s="448">
        <v>1797.9479527708097</v>
      </c>
      <c r="P24" s="448">
        <v>1562.0136103797588</v>
      </c>
      <c r="Q24" s="449">
        <v>1369.9069282255828</v>
      </c>
      <c r="R24" s="448">
        <v>1134.8532152423472</v>
      </c>
      <c r="S24" s="448">
        <v>1084.8333353025137</v>
      </c>
      <c r="T24" s="448">
        <v>997.57883456205229</v>
      </c>
      <c r="U24" s="448">
        <v>1112.174009249952</v>
      </c>
      <c r="V24" s="448">
        <v>1083.6769399699954</v>
      </c>
      <c r="W24" s="448">
        <v>1121.1653855161032</v>
      </c>
      <c r="X24" s="448">
        <v>1162.6691437578336</v>
      </c>
      <c r="Y24" s="448">
        <v>1244.334384010175</v>
      </c>
      <c r="Z24" s="448">
        <v>1279.3621964957927</v>
      </c>
      <c r="AA24" s="448">
        <v>1860.3674962306823</v>
      </c>
      <c r="AB24" s="448">
        <v>1596.2557381084384</v>
      </c>
      <c r="AC24" s="448">
        <v>1399.7895337985638</v>
      </c>
      <c r="AD24" s="455">
        <v>1169.3873152997012</v>
      </c>
      <c r="AE24" s="448">
        <v>1113.4373985160355</v>
      </c>
      <c r="AF24" s="448">
        <v>1027.3609053805542</v>
      </c>
      <c r="AG24" s="448">
        <v>1150.9588980896065</v>
      </c>
      <c r="AH24" s="448">
        <v>1122.6311458021753</v>
      </c>
      <c r="AI24" s="448">
        <v>1162.2512938744221</v>
      </c>
      <c r="AJ24" s="448">
        <v>1205.2310320733607</v>
      </c>
      <c r="AK24" s="448">
        <v>1290.3158339893735</v>
      </c>
      <c r="AL24" s="448">
        <v>1328.2486706647232</v>
      </c>
      <c r="AM24" s="448">
        <v>1931.4784723913838</v>
      </c>
      <c r="AN24" s="448">
        <v>1653.5410165566095</v>
      </c>
      <c r="AO24" s="448">
        <v>1443.1415822572953</v>
      </c>
    </row>
    <row r="25" spans="1:208" x14ac:dyDescent="0.25">
      <c r="A25" s="525" t="s">
        <v>7</v>
      </c>
      <c r="B25" s="514" t="s">
        <v>595</v>
      </c>
      <c r="C25" s="514" t="s">
        <v>446</v>
      </c>
      <c r="D25" s="303" t="s">
        <v>18</v>
      </c>
      <c r="E25" s="287" t="s">
        <v>19</v>
      </c>
      <c r="F25" s="519">
        <v>2231.6493128397378</v>
      </c>
      <c r="G25" s="448">
        <v>2029.44868940079</v>
      </c>
      <c r="H25" s="448">
        <v>1364.820353489185</v>
      </c>
      <c r="I25" s="448">
        <v>621.4208963977926</v>
      </c>
      <c r="J25" s="448">
        <v>457.43572231891909</v>
      </c>
      <c r="K25" s="448">
        <v>352.08620387634699</v>
      </c>
      <c r="L25" s="448">
        <v>348.91018441345688</v>
      </c>
      <c r="M25" s="448">
        <v>390.58938571367645</v>
      </c>
      <c r="N25" s="448">
        <v>387.22968033908268</v>
      </c>
      <c r="O25" s="448">
        <v>664.99444828509399</v>
      </c>
      <c r="P25" s="448">
        <v>1278.011135765257</v>
      </c>
      <c r="Q25" s="449">
        <v>2054.8603923383739</v>
      </c>
      <c r="R25" s="448">
        <v>2411.5630823899878</v>
      </c>
      <c r="S25" s="448">
        <v>2202.5404080384365</v>
      </c>
      <c r="T25" s="448">
        <v>1435.5402741258804</v>
      </c>
      <c r="U25" s="448">
        <v>653.18156098806708</v>
      </c>
      <c r="V25" s="448">
        <v>486.86934984159228</v>
      </c>
      <c r="W25" s="448">
        <v>373.72179517203443</v>
      </c>
      <c r="X25" s="448">
        <v>367.15867697615795</v>
      </c>
      <c r="Y25" s="448">
        <v>414.77812800339166</v>
      </c>
      <c r="Z25" s="448">
        <v>404.00911468288189</v>
      </c>
      <c r="AA25" s="448">
        <v>688.08112874285507</v>
      </c>
      <c r="AB25" s="448">
        <v>1306.0274220887222</v>
      </c>
      <c r="AC25" s="448">
        <v>2099.6843006978452</v>
      </c>
      <c r="AD25" s="455">
        <v>2484.9480450118649</v>
      </c>
      <c r="AE25" s="448">
        <v>2260.6153242598293</v>
      </c>
      <c r="AF25" s="448">
        <v>1478.3974004256759</v>
      </c>
      <c r="AG25" s="448">
        <v>675.95998776691181</v>
      </c>
      <c r="AH25" s="448">
        <v>504.37051478068753</v>
      </c>
      <c r="AI25" s="448">
        <v>387.41709795814069</v>
      </c>
      <c r="AJ25" s="448">
        <v>380.59927328632443</v>
      </c>
      <c r="AK25" s="448">
        <v>430.1052779964578</v>
      </c>
      <c r="AL25" s="448">
        <v>419.44694863096521</v>
      </c>
      <c r="AM25" s="448">
        <v>714.38244869270363</v>
      </c>
      <c r="AN25" s="448">
        <v>1352.8971953644987</v>
      </c>
      <c r="AO25" s="448">
        <v>2164.7123733859426</v>
      </c>
    </row>
    <row r="26" spans="1:208" x14ac:dyDescent="0.25">
      <c r="A26" s="524" t="s">
        <v>579</v>
      </c>
      <c r="B26" s="521"/>
      <c r="C26" s="514"/>
      <c r="D26" s="514"/>
      <c r="E26" s="522"/>
      <c r="F26" s="523">
        <v>263693.51264534285</v>
      </c>
      <c r="G26" s="453">
        <v>226501.6835385313</v>
      </c>
      <c r="H26" s="453">
        <v>160146.1064200539</v>
      </c>
      <c r="I26" s="453">
        <v>85097.478948067903</v>
      </c>
      <c r="J26" s="453">
        <v>52096.775754764174</v>
      </c>
      <c r="K26" s="453">
        <v>40253.812306220148</v>
      </c>
      <c r="L26" s="453">
        <v>38279.187842630265</v>
      </c>
      <c r="M26" s="453">
        <v>40283.103733458338</v>
      </c>
      <c r="N26" s="453">
        <v>42642.675670737422</v>
      </c>
      <c r="O26" s="453">
        <v>65771.597014350322</v>
      </c>
      <c r="P26" s="453">
        <v>114961.20003191144</v>
      </c>
      <c r="Q26" s="454">
        <v>204576.98384596253</v>
      </c>
      <c r="R26" s="457">
        <v>260406.42867598281</v>
      </c>
      <c r="S26" s="457">
        <v>225851.80060034993</v>
      </c>
      <c r="T26" s="457">
        <v>158658.58275150595</v>
      </c>
      <c r="U26" s="457">
        <v>83854.563906335912</v>
      </c>
      <c r="V26" s="457">
        <v>51478.352295913588</v>
      </c>
      <c r="W26" s="457">
        <v>39593.189823094777</v>
      </c>
      <c r="X26" s="457">
        <v>37691.509919321259</v>
      </c>
      <c r="Y26" s="457">
        <v>40057.870720359715</v>
      </c>
      <c r="Z26" s="457">
        <v>41812.457502557285</v>
      </c>
      <c r="AA26" s="457">
        <v>64911.380642355682</v>
      </c>
      <c r="AB26" s="457">
        <v>111895.27160782031</v>
      </c>
      <c r="AC26" s="457">
        <v>201119.18088171032</v>
      </c>
      <c r="AD26" s="458">
        <v>259851.12031690453</v>
      </c>
      <c r="AE26" s="457">
        <v>224972.93494756852</v>
      </c>
      <c r="AF26" s="457">
        <v>158009.51474508989</v>
      </c>
      <c r="AG26" s="457">
        <v>83527.921474283517</v>
      </c>
      <c r="AH26" s="457">
        <v>51170.244404122575</v>
      </c>
      <c r="AI26" s="457">
        <v>39297.214410054337</v>
      </c>
      <c r="AJ26" s="457">
        <v>37371.943751980638</v>
      </c>
      <c r="AK26" s="457">
        <v>39711.398958849779</v>
      </c>
      <c r="AL26" s="457">
        <v>41466.482726278839</v>
      </c>
      <c r="AM26" s="457">
        <v>64462.112226669291</v>
      </c>
      <c r="AN26" s="457">
        <v>111242.28129847304</v>
      </c>
      <c r="AO26" s="457">
        <v>200083.30020044811</v>
      </c>
    </row>
    <row r="27" spans="1:208" x14ac:dyDescent="0.25">
      <c r="A27" s="524" t="s">
        <v>418</v>
      </c>
      <c r="B27" s="521" t="s">
        <v>575</v>
      </c>
      <c r="C27" s="514"/>
      <c r="D27" s="303" t="s">
        <v>5</v>
      </c>
      <c r="E27" s="514" t="s">
        <v>10</v>
      </c>
      <c r="F27" s="515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516">
        <v>0</v>
      </c>
      <c r="O27" s="516">
        <v>0</v>
      </c>
      <c r="P27" s="516">
        <v>0</v>
      </c>
      <c r="Q27" s="517">
        <v>0</v>
      </c>
      <c r="R27" s="516">
        <v>0</v>
      </c>
      <c r="S27" s="516">
        <v>0</v>
      </c>
      <c r="T27" s="516">
        <v>0</v>
      </c>
      <c r="U27" s="516">
        <v>0</v>
      </c>
      <c r="V27" s="516">
        <v>0</v>
      </c>
      <c r="W27" s="516">
        <v>0</v>
      </c>
      <c r="X27" s="516">
        <v>0</v>
      </c>
      <c r="Y27" s="516">
        <v>0</v>
      </c>
      <c r="Z27" s="516">
        <v>0</v>
      </c>
      <c r="AA27" s="516">
        <v>0</v>
      </c>
      <c r="AB27" s="516">
        <v>0</v>
      </c>
      <c r="AC27" s="516">
        <v>0</v>
      </c>
      <c r="AD27" s="527">
        <v>0</v>
      </c>
      <c r="AE27" s="516">
        <v>0</v>
      </c>
      <c r="AF27" s="516">
        <v>0</v>
      </c>
      <c r="AG27" s="516">
        <v>0</v>
      </c>
      <c r="AH27" s="516">
        <v>0</v>
      </c>
      <c r="AI27" s="516">
        <v>0</v>
      </c>
      <c r="AJ27" s="516">
        <v>0</v>
      </c>
      <c r="AK27" s="516">
        <v>0</v>
      </c>
      <c r="AL27" s="516">
        <v>0</v>
      </c>
      <c r="AM27" s="516">
        <v>0</v>
      </c>
      <c r="AN27" s="516">
        <v>0</v>
      </c>
      <c r="AO27" s="516">
        <v>0</v>
      </c>
    </row>
    <row r="28" spans="1:208" x14ac:dyDescent="0.25">
      <c r="A28" s="520" t="s">
        <v>418</v>
      </c>
      <c r="B28" s="514" t="s">
        <v>580</v>
      </c>
      <c r="C28" s="514"/>
      <c r="D28" s="438" t="s">
        <v>41</v>
      </c>
      <c r="E28" s="514" t="s">
        <v>44</v>
      </c>
      <c r="F28" s="519">
        <v>1389547.8612116606</v>
      </c>
      <c r="G28" s="448">
        <v>1235504.0460263651</v>
      </c>
      <c r="H28" s="448">
        <v>966277.2245346338</v>
      </c>
      <c r="I28" s="448">
        <v>719376.47569839761</v>
      </c>
      <c r="J28" s="448">
        <v>653265.45744426153</v>
      </c>
      <c r="K28" s="448">
        <v>630295.18016861263</v>
      </c>
      <c r="L28" s="448">
        <v>651878.58730385569</v>
      </c>
      <c r="M28" s="448">
        <v>692863.56792754994</v>
      </c>
      <c r="N28" s="448">
        <v>712772.43120893615</v>
      </c>
      <c r="O28" s="448">
        <v>1057421.427044258</v>
      </c>
      <c r="P28" s="448">
        <v>1307812.675256355</v>
      </c>
      <c r="Q28" s="449">
        <v>1365340.194171381</v>
      </c>
      <c r="R28" s="448">
        <v>1387554.4855345571</v>
      </c>
      <c r="S28" s="448">
        <v>1217905.4241899983</v>
      </c>
      <c r="T28" s="448">
        <v>964931.02528517949</v>
      </c>
      <c r="U28" s="448">
        <v>715546.328445822</v>
      </c>
      <c r="V28" s="448">
        <v>653254.39087358117</v>
      </c>
      <c r="W28" s="448">
        <v>626245.3451194925</v>
      </c>
      <c r="X28" s="448">
        <v>642026.52322069847</v>
      </c>
      <c r="Y28" s="448">
        <v>691863.6545942782</v>
      </c>
      <c r="Z28" s="448">
        <v>702268.59730756946</v>
      </c>
      <c r="AA28" s="448">
        <v>1042197.1961146459</v>
      </c>
      <c r="AB28" s="448">
        <v>1287895.1602221152</v>
      </c>
      <c r="AC28" s="448">
        <v>1356670.208550839</v>
      </c>
      <c r="AD28" s="455">
        <v>1399352.5168168538</v>
      </c>
      <c r="AE28" s="448">
        <v>1224557.084513359</v>
      </c>
      <c r="AF28" s="448">
        <v>970608.85947562743</v>
      </c>
      <c r="AG28" s="448">
        <v>720057.29083485866</v>
      </c>
      <c r="AH28" s="448">
        <v>654579.81118161895</v>
      </c>
      <c r="AI28" s="448">
        <v>626186.39478772052</v>
      </c>
      <c r="AJ28" s="448">
        <v>641682.33591458236</v>
      </c>
      <c r="AK28" s="448">
        <v>691321.79046964378</v>
      </c>
      <c r="AL28" s="448">
        <v>702091.05302338256</v>
      </c>
      <c r="AM28" s="448">
        <v>1044829.3690184435</v>
      </c>
      <c r="AN28" s="448">
        <v>1294803.4477189633</v>
      </c>
      <c r="AO28" s="448">
        <v>1365560.1820704101</v>
      </c>
    </row>
    <row r="29" spans="1:208" x14ac:dyDescent="0.25">
      <c r="A29" s="525" t="s">
        <v>418</v>
      </c>
      <c r="B29" s="514" t="s">
        <v>581</v>
      </c>
      <c r="C29" s="514"/>
      <c r="D29" s="303" t="s">
        <v>87</v>
      </c>
      <c r="E29" s="514" t="s">
        <v>442</v>
      </c>
      <c r="F29" s="519">
        <v>17894.912782897212</v>
      </c>
      <c r="G29" s="448">
        <v>19540.613039893182</v>
      </c>
      <c r="H29" s="448">
        <v>20195.676364805331</v>
      </c>
      <c r="I29" s="448">
        <v>12469.953775222106</v>
      </c>
      <c r="J29" s="448">
        <v>11526.604792305967</v>
      </c>
      <c r="K29" s="448">
        <v>11904.283817954749</v>
      </c>
      <c r="L29" s="448">
        <v>12569.933362918295</v>
      </c>
      <c r="M29" s="448">
        <v>11638.906016295941</v>
      </c>
      <c r="N29" s="448">
        <v>22086.321834439168</v>
      </c>
      <c r="O29" s="448">
        <v>35865.447455286201</v>
      </c>
      <c r="P29" s="448">
        <v>24687.407265375707</v>
      </c>
      <c r="Q29" s="449">
        <v>22208.650501669857</v>
      </c>
      <c r="R29" s="448">
        <v>18927.44284242858</v>
      </c>
      <c r="S29" s="448">
        <v>11161.8061680388</v>
      </c>
      <c r="T29" s="448">
        <v>13805.982166876423</v>
      </c>
      <c r="U29" s="448">
        <v>13353.684323091527</v>
      </c>
      <c r="V29" s="448">
        <v>7128.1169277682548</v>
      </c>
      <c r="W29" s="448">
        <v>8433.7296597750901</v>
      </c>
      <c r="X29" s="448">
        <v>11549.767634831696</v>
      </c>
      <c r="Y29" s="448">
        <v>2963.4874209151917</v>
      </c>
      <c r="Z29" s="448">
        <v>21178.158210546801</v>
      </c>
      <c r="AA29" s="448">
        <v>38303.231784439988</v>
      </c>
      <c r="AB29" s="448">
        <v>43931.64073274564</v>
      </c>
      <c r="AC29" s="448">
        <v>31851.663137605676</v>
      </c>
      <c r="AD29" s="455">
        <v>19100.688541479052</v>
      </c>
      <c r="AE29" s="448">
        <v>11223.111809079635</v>
      </c>
      <c r="AF29" s="448">
        <v>13877.387782233985</v>
      </c>
      <c r="AG29" s="448">
        <v>13413.777047555188</v>
      </c>
      <c r="AH29" s="448">
        <v>7117.5730059686521</v>
      </c>
      <c r="AI29" s="448">
        <v>8388.5843632843826</v>
      </c>
      <c r="AJ29" s="448">
        <v>11465.17600498518</v>
      </c>
      <c r="AK29" s="448">
        <v>2940.7659912591625</v>
      </c>
      <c r="AL29" s="448">
        <v>21025.706188631764</v>
      </c>
      <c r="AM29" s="448">
        <v>38151.508800805263</v>
      </c>
      <c r="AN29" s="448">
        <v>43959.975907428488</v>
      </c>
      <c r="AO29" s="448">
        <v>31924.455566352884</v>
      </c>
    </row>
    <row r="30" spans="1:208" x14ac:dyDescent="0.25">
      <c r="A30" s="525" t="s">
        <v>418</v>
      </c>
      <c r="B30" s="514" t="s">
        <v>581</v>
      </c>
      <c r="C30" s="514"/>
      <c r="D30" s="303" t="s">
        <v>31</v>
      </c>
      <c r="E30" s="514" t="s">
        <v>425</v>
      </c>
      <c r="F30" s="519">
        <v>19639.843471251148</v>
      </c>
      <c r="G30" s="448">
        <v>18369.504701971524</v>
      </c>
      <c r="H30" s="448">
        <v>27118.033350086615</v>
      </c>
      <c r="I30" s="448">
        <v>29715.03025961739</v>
      </c>
      <c r="J30" s="448">
        <v>35997.389860365955</v>
      </c>
      <c r="K30" s="448">
        <v>36256.48102408558</v>
      </c>
      <c r="L30" s="448">
        <v>41551.692913003964</v>
      </c>
      <c r="M30" s="448">
        <v>41864.845465486549</v>
      </c>
      <c r="N30" s="448">
        <v>39938.067917834123</v>
      </c>
      <c r="O30" s="448">
        <v>59082.675376749336</v>
      </c>
      <c r="P30" s="448">
        <v>46688.580641325236</v>
      </c>
      <c r="Q30" s="449">
        <v>36671.992604273983</v>
      </c>
      <c r="R30" s="448">
        <v>16630.208741260201</v>
      </c>
      <c r="S30" s="448">
        <v>10674.310202411034</v>
      </c>
      <c r="T30" s="448">
        <v>17048.16685907224</v>
      </c>
      <c r="U30" s="448">
        <v>30055.920163635063</v>
      </c>
      <c r="V30" s="448">
        <v>30244.297382700821</v>
      </c>
      <c r="W30" s="448">
        <v>32010.288214165412</v>
      </c>
      <c r="X30" s="448">
        <v>39948.130739861517</v>
      </c>
      <c r="Y30" s="448">
        <v>31370.296722112966</v>
      </c>
      <c r="Z30" s="448">
        <v>39557.317144769375</v>
      </c>
      <c r="AA30" s="448">
        <v>62749.217703875627</v>
      </c>
      <c r="AB30" s="448">
        <v>67334.440187129119</v>
      </c>
      <c r="AC30" s="448">
        <v>48604.148908228366</v>
      </c>
      <c r="AD30" s="455">
        <v>16809.78682723004</v>
      </c>
      <c r="AE30" s="448">
        <v>10750.435516215462</v>
      </c>
      <c r="AF30" s="448">
        <v>17164.277581412396</v>
      </c>
      <c r="AG30" s="448">
        <v>30240.393111459536</v>
      </c>
      <c r="AH30" s="448">
        <v>30248.792370754974</v>
      </c>
      <c r="AI30" s="448">
        <v>31890.843855573297</v>
      </c>
      <c r="AJ30" s="448">
        <v>39720.194603551383</v>
      </c>
      <c r="AK30" s="448">
        <v>31180.525596518983</v>
      </c>
      <c r="AL30" s="448">
        <v>39336.585367882275</v>
      </c>
      <c r="AM30" s="448">
        <v>62602.552501322643</v>
      </c>
      <c r="AN30" s="448">
        <v>67487.711584579432</v>
      </c>
      <c r="AO30" s="448">
        <v>48794.644052721342</v>
      </c>
    </row>
    <row r="31" spans="1:208" x14ac:dyDescent="0.25">
      <c r="A31" s="522" t="s">
        <v>582</v>
      </c>
      <c r="B31" s="505"/>
      <c r="C31" s="505"/>
      <c r="D31" s="505"/>
      <c r="E31" s="505"/>
      <c r="F31" s="523">
        <v>1427082.617465809</v>
      </c>
      <c r="G31" s="453">
        <v>1273414.1637682298</v>
      </c>
      <c r="H31" s="453">
        <v>1013590.9342495258</v>
      </c>
      <c r="I31" s="453">
        <v>761561.45973323705</v>
      </c>
      <c r="J31" s="453">
        <v>700789.4520969335</v>
      </c>
      <c r="K31" s="453">
        <v>678455.94501065288</v>
      </c>
      <c r="L31" s="453">
        <v>706000.21357977798</v>
      </c>
      <c r="M31" s="453">
        <v>746367.31940933235</v>
      </c>
      <c r="N31" s="453">
        <v>774796.82096120948</v>
      </c>
      <c r="O31" s="453">
        <v>1152369.5498762936</v>
      </c>
      <c r="P31" s="453">
        <v>1379188.6631630559</v>
      </c>
      <c r="Q31" s="454">
        <v>1424220.8372773249</v>
      </c>
      <c r="R31" s="453">
        <v>1423112.1371182459</v>
      </c>
      <c r="S31" s="453">
        <v>1239741.5405604483</v>
      </c>
      <c r="T31" s="453">
        <v>995785.17431112821</v>
      </c>
      <c r="U31" s="453">
        <v>758955.93293254857</v>
      </c>
      <c r="V31" s="453">
        <v>690626.80518405023</v>
      </c>
      <c r="W31" s="453">
        <v>666689.36299343291</v>
      </c>
      <c r="X31" s="453">
        <v>693524.4215953917</v>
      </c>
      <c r="Y31" s="453">
        <v>726197.43873730628</v>
      </c>
      <c r="Z31" s="453">
        <v>763004.07266288565</v>
      </c>
      <c r="AA31" s="453">
        <v>1143249.6456029615</v>
      </c>
      <c r="AB31" s="453">
        <v>1399161.2411419901</v>
      </c>
      <c r="AC31" s="453">
        <v>1437126.020596673</v>
      </c>
      <c r="AD31" s="460">
        <v>1435262.9921855628</v>
      </c>
      <c r="AE31" s="453">
        <v>1246530.6318386539</v>
      </c>
      <c r="AF31" s="453">
        <v>1001650.5248392738</v>
      </c>
      <c r="AG31" s="453">
        <v>763711.46099387342</v>
      </c>
      <c r="AH31" s="453">
        <v>691946.17655834265</v>
      </c>
      <c r="AI31" s="453">
        <v>666465.82300657826</v>
      </c>
      <c r="AJ31" s="453">
        <v>692867.70652311901</v>
      </c>
      <c r="AK31" s="453">
        <v>725443.08205742191</v>
      </c>
      <c r="AL31" s="453">
        <v>762453.34457989654</v>
      </c>
      <c r="AM31" s="453">
        <v>1145583.4303205714</v>
      </c>
      <c r="AN31" s="453">
        <v>1406251.1352109711</v>
      </c>
      <c r="AO31" s="453">
        <v>1446279.2816894844</v>
      </c>
    </row>
    <row r="32" spans="1:208" s="467" customFormat="1" x14ac:dyDescent="0.25">
      <c r="A32" s="528" t="s">
        <v>416</v>
      </c>
      <c r="B32" s="529" t="s">
        <v>583</v>
      </c>
      <c r="C32" s="529"/>
      <c r="D32" s="438" t="s">
        <v>41</v>
      </c>
      <c r="E32" s="530" t="s">
        <v>42</v>
      </c>
      <c r="F32" s="531">
        <v>70467.369862857217</v>
      </c>
      <c r="G32" s="464">
        <v>53766.35673366132</v>
      </c>
      <c r="H32" s="464">
        <v>44678.676233053971</v>
      </c>
      <c r="I32" s="464">
        <v>27217.417891804886</v>
      </c>
      <c r="J32" s="464">
        <v>29003.871631889651</v>
      </c>
      <c r="K32" s="464">
        <v>30500.502691316902</v>
      </c>
      <c r="L32" s="464">
        <v>26988.932016434272</v>
      </c>
      <c r="M32" s="464">
        <v>34231.799214494866</v>
      </c>
      <c r="N32" s="464">
        <v>35015.366638949621</v>
      </c>
      <c r="O32" s="464">
        <v>48105.333530309792</v>
      </c>
      <c r="P32" s="464">
        <v>65847.82906233934</v>
      </c>
      <c r="Q32" s="465">
        <v>67015.759240492422</v>
      </c>
      <c r="R32" s="464">
        <v>70882.166683545001</v>
      </c>
      <c r="S32" s="464">
        <v>55405.035808028442</v>
      </c>
      <c r="T32" s="464">
        <v>44713.13970926551</v>
      </c>
      <c r="U32" s="464">
        <v>27114.354536957428</v>
      </c>
      <c r="V32" s="464">
        <v>29086.481904716067</v>
      </c>
      <c r="W32" s="464">
        <v>30435.232620157811</v>
      </c>
      <c r="X32" s="464">
        <v>26731.062281300343</v>
      </c>
      <c r="Y32" s="464">
        <v>34379.919660406944</v>
      </c>
      <c r="Z32" s="464">
        <v>34702.350657499752</v>
      </c>
      <c r="AA32" s="464">
        <v>47677.804020204581</v>
      </c>
      <c r="AB32" s="464">
        <v>65031.04373195643</v>
      </c>
      <c r="AC32" s="464">
        <v>66680.623133566041</v>
      </c>
      <c r="AD32" s="466">
        <v>71477.742083909965</v>
      </c>
      <c r="AE32" s="464">
        <v>55667.896889576674</v>
      </c>
      <c r="AF32" s="464">
        <v>44910.960555698621</v>
      </c>
      <c r="AG32" s="464">
        <v>27216.107377329849</v>
      </c>
      <c r="AH32" s="464">
        <v>29021.848568543035</v>
      </c>
      <c r="AI32" s="464">
        <v>30249.791628072089</v>
      </c>
      <c r="AJ32" s="464">
        <v>26515.538898666837</v>
      </c>
      <c r="AK32" s="464">
        <v>34090.941684879057</v>
      </c>
      <c r="AL32" s="464">
        <v>34426.911095148811</v>
      </c>
      <c r="AM32" s="464">
        <v>47453.615245953246</v>
      </c>
      <c r="AN32" s="464">
        <v>65024.572841762973</v>
      </c>
      <c r="AO32" s="464">
        <v>66783.287878063071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</row>
    <row r="33" spans="1:208" s="467" customFormat="1" x14ac:dyDescent="0.25">
      <c r="A33" s="532" t="s">
        <v>416</v>
      </c>
      <c r="B33" s="533" t="s">
        <v>580</v>
      </c>
      <c r="C33" s="533"/>
      <c r="D33" s="438" t="s">
        <v>41</v>
      </c>
      <c r="E33" s="534" t="s">
        <v>44</v>
      </c>
      <c r="F33" s="535">
        <v>2102.3257050973666</v>
      </c>
      <c r="G33" s="536">
        <v>1869.2640874191363</v>
      </c>
      <c r="H33" s="536">
        <v>1461.9355720629376</v>
      </c>
      <c r="I33" s="536">
        <v>1088.385437248875</v>
      </c>
      <c r="J33" s="536">
        <v>988.36233121160797</v>
      </c>
      <c r="K33" s="536">
        <v>953.60929699247606</v>
      </c>
      <c r="L33" s="536">
        <v>986.26405678206447</v>
      </c>
      <c r="M33" s="536">
        <v>1048.2725565921946</v>
      </c>
      <c r="N33" s="536">
        <v>1078.3938040886505</v>
      </c>
      <c r="O33" s="536">
        <v>1599.8328011943602</v>
      </c>
      <c r="P33" s="536">
        <v>1978.6639103212469</v>
      </c>
      <c r="Q33" s="537">
        <v>2065.7005537802752</v>
      </c>
      <c r="R33" s="536">
        <v>2099.3098140706002</v>
      </c>
      <c r="S33" s="536">
        <v>1842.6381351265536</v>
      </c>
      <c r="T33" s="536">
        <v>1459.8988309291396</v>
      </c>
      <c r="U33" s="536">
        <v>1082.5905904154768</v>
      </c>
      <c r="V33" s="536">
        <v>988.34558796968167</v>
      </c>
      <c r="W33" s="536">
        <v>947.48207204194762</v>
      </c>
      <c r="X33" s="536">
        <v>971.35831071281632</v>
      </c>
      <c r="Y33" s="536">
        <v>1046.7597310450603</v>
      </c>
      <c r="Z33" s="536">
        <v>1062.5019585255473</v>
      </c>
      <c r="AA33" s="536">
        <v>1576.7991994616696</v>
      </c>
      <c r="AB33" s="536">
        <v>1948.5295730976029</v>
      </c>
      <c r="AC33" s="536">
        <v>2052.5832412056679</v>
      </c>
      <c r="AD33" s="538">
        <v>2117.1597241936579</v>
      </c>
      <c r="AE33" s="536">
        <v>1852.7018089802802</v>
      </c>
      <c r="AF33" s="536">
        <v>1468.4891480395204</v>
      </c>
      <c r="AG33" s="536">
        <v>1089.4154810507152</v>
      </c>
      <c r="AH33" s="536">
        <v>990.35089146546477</v>
      </c>
      <c r="AI33" s="536">
        <v>947.39288274428623</v>
      </c>
      <c r="AJ33" s="536">
        <v>970.83757023225098</v>
      </c>
      <c r="AK33" s="536">
        <v>1045.9399141033859</v>
      </c>
      <c r="AL33" s="536">
        <v>1062.2333417165414</v>
      </c>
      <c r="AM33" s="536">
        <v>1580.7815630134289</v>
      </c>
      <c r="AN33" s="536">
        <v>1958.9815127451961</v>
      </c>
      <c r="AO33" s="536">
        <v>2066.0333859394609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</row>
    <row r="34" spans="1:208" s="467" customFormat="1" x14ac:dyDescent="0.25">
      <c r="A34" s="539" t="s">
        <v>584</v>
      </c>
      <c r="B34" s="540"/>
      <c r="C34" s="540"/>
      <c r="D34" s="540"/>
      <c r="E34" s="541"/>
      <c r="F34" s="542">
        <v>72569.695567954579</v>
      </c>
      <c r="G34" s="471">
        <v>55635.620821080454</v>
      </c>
      <c r="H34" s="471">
        <v>46140.611805116911</v>
      </c>
      <c r="I34" s="471">
        <v>28305.803329053761</v>
      </c>
      <c r="J34" s="471">
        <v>29992.233963101258</v>
      </c>
      <c r="K34" s="471">
        <v>31454.111988309378</v>
      </c>
      <c r="L34" s="471">
        <v>27975.196073216335</v>
      </c>
      <c r="M34" s="471">
        <v>35280.071771087059</v>
      </c>
      <c r="N34" s="471">
        <v>36093.760443038271</v>
      </c>
      <c r="O34" s="471">
        <v>49705.166331504151</v>
      </c>
      <c r="P34" s="471">
        <v>67826.492972660591</v>
      </c>
      <c r="Q34" s="472">
        <v>69081.459794272698</v>
      </c>
      <c r="R34" s="471">
        <v>72981.4764976156</v>
      </c>
      <c r="S34" s="471">
        <v>57247.673943154994</v>
      </c>
      <c r="T34" s="471">
        <v>46173.038540194648</v>
      </c>
      <c r="U34" s="471">
        <v>28196.945127372903</v>
      </c>
      <c r="V34" s="471">
        <v>30074.827492685748</v>
      </c>
      <c r="W34" s="471">
        <v>31382.714692199759</v>
      </c>
      <c r="X34" s="471">
        <v>27702.420592013161</v>
      </c>
      <c r="Y34" s="471">
        <v>35426.679391452002</v>
      </c>
      <c r="Z34" s="471">
        <v>35764.852616025302</v>
      </c>
      <c r="AA34" s="471">
        <v>49254.603219666249</v>
      </c>
      <c r="AB34" s="471">
        <v>66979.573305054029</v>
      </c>
      <c r="AC34" s="471">
        <v>68733.206374771704</v>
      </c>
      <c r="AD34" s="473">
        <v>73594.901808103619</v>
      </c>
      <c r="AE34" s="471">
        <v>57520.598698556954</v>
      </c>
      <c r="AF34" s="471">
        <v>46379.449703738144</v>
      </c>
      <c r="AG34" s="471">
        <v>28305.522858380566</v>
      </c>
      <c r="AH34" s="471">
        <v>30012.199460008498</v>
      </c>
      <c r="AI34" s="471">
        <v>31197.184510816376</v>
      </c>
      <c r="AJ34" s="471">
        <v>27486.376468899089</v>
      </c>
      <c r="AK34" s="471">
        <v>35136.881598982443</v>
      </c>
      <c r="AL34" s="471">
        <v>35489.144436865354</v>
      </c>
      <c r="AM34" s="471">
        <v>49034.396808966674</v>
      </c>
      <c r="AN34" s="471">
        <v>66983.554354508175</v>
      </c>
      <c r="AO34" s="471">
        <v>68849.32126400253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</row>
    <row r="35" spans="1:208" s="467" customFormat="1" x14ac:dyDescent="0.25">
      <c r="A35" s="543" t="s">
        <v>417</v>
      </c>
      <c r="B35" s="503" t="s">
        <v>583</v>
      </c>
      <c r="C35" s="503"/>
      <c r="D35" s="438" t="s">
        <v>41</v>
      </c>
      <c r="E35" s="544" t="s">
        <v>42</v>
      </c>
      <c r="F35" s="545">
        <v>20425.40673109916</v>
      </c>
      <c r="G35" s="476">
        <v>15584.513894469286</v>
      </c>
      <c r="H35" s="476">
        <v>12950.393012301629</v>
      </c>
      <c r="I35" s="476">
        <v>7889.138358538833</v>
      </c>
      <c r="J35" s="476">
        <v>8406.9531190235684</v>
      </c>
      <c r="K35" s="476">
        <v>8840.7609676021511</v>
      </c>
      <c r="L35" s="476">
        <v>7822.9103022648624</v>
      </c>
      <c r="M35" s="476">
        <v>9922.3005407204819</v>
      </c>
      <c r="N35" s="476">
        <v>10149.422446602259</v>
      </c>
      <c r="O35" s="476">
        <v>13943.63100544306</v>
      </c>
      <c r="P35" s="476">
        <v>19086.40401331475</v>
      </c>
      <c r="Q35" s="477">
        <v>19424.935861015736</v>
      </c>
      <c r="R35" s="476">
        <v>20545.638177083358</v>
      </c>
      <c r="S35" s="476">
        <v>16059.495246275515</v>
      </c>
      <c r="T35" s="476">
        <v>12960.382465865147</v>
      </c>
      <c r="U35" s="476">
        <v>7859.2648022257781</v>
      </c>
      <c r="V35" s="476">
        <v>8430.898221926238</v>
      </c>
      <c r="W35" s="476">
        <v>8821.8420303211551</v>
      </c>
      <c r="X35" s="476">
        <v>7748.1651509416033</v>
      </c>
      <c r="Y35" s="476">
        <v>9965.2341759453229</v>
      </c>
      <c r="Z35" s="476">
        <v>10058.692811781339</v>
      </c>
      <c r="AA35" s="476">
        <v>13819.708910004538</v>
      </c>
      <c r="AB35" s="476">
        <v>18849.653690185976</v>
      </c>
      <c r="AC35" s="476">
        <v>19327.794569839825</v>
      </c>
      <c r="AD35" s="478">
        <v>20718.269422086072</v>
      </c>
      <c r="AE35" s="476">
        <v>16135.687170493044</v>
      </c>
      <c r="AF35" s="476">
        <v>13017.722072212742</v>
      </c>
      <c r="AG35" s="476">
        <v>7888.7584977432371</v>
      </c>
      <c r="AH35" s="476">
        <v>8412.1638462529099</v>
      </c>
      <c r="AI35" s="476">
        <v>8768.0908019818398</v>
      </c>
      <c r="AJ35" s="476">
        <v>7685.6943540476777</v>
      </c>
      <c r="AK35" s="476">
        <v>9881.472107090276</v>
      </c>
      <c r="AL35" s="476">
        <v>9978.8549364384235</v>
      </c>
      <c r="AM35" s="476">
        <v>13754.726395295364</v>
      </c>
      <c r="AN35" s="476">
        <v>18847.778062297908</v>
      </c>
      <c r="AO35" s="476">
        <v>19357.55258645627</v>
      </c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</row>
    <row r="36" spans="1:208" s="467" customFormat="1" x14ac:dyDescent="0.25">
      <c r="A36" s="543" t="s">
        <v>417</v>
      </c>
      <c r="B36" s="503" t="s">
        <v>580</v>
      </c>
      <c r="C36" s="503"/>
      <c r="D36" s="438" t="s">
        <v>41</v>
      </c>
      <c r="E36" s="544" t="s">
        <v>44</v>
      </c>
      <c r="F36" s="545">
        <v>35608.829802952234</v>
      </c>
      <c r="G36" s="476">
        <v>31661.272363406748</v>
      </c>
      <c r="H36" s="476">
        <v>24762.012300115868</v>
      </c>
      <c r="I36" s="476">
        <v>18434.884614233455</v>
      </c>
      <c r="J36" s="476">
        <v>16740.710514279359</v>
      </c>
      <c r="K36" s="476">
        <v>16152.069621174775</v>
      </c>
      <c r="L36" s="476">
        <v>16705.170304282241</v>
      </c>
      <c r="M36" s="476">
        <v>17755.459567606958</v>
      </c>
      <c r="N36" s="476">
        <v>18265.648056932507</v>
      </c>
      <c r="O36" s="476">
        <v>27097.691757648889</v>
      </c>
      <c r="P36" s="476">
        <v>33514.267674622788</v>
      </c>
      <c r="Q36" s="477">
        <v>34988.479313684315</v>
      </c>
      <c r="R36" s="476">
        <v>35557.747161468098</v>
      </c>
      <c r="S36" s="476">
        <v>31210.28658074269</v>
      </c>
      <c r="T36" s="476">
        <v>24727.514330457678</v>
      </c>
      <c r="U36" s="476">
        <v>18336.73249911431</v>
      </c>
      <c r="V36" s="476">
        <v>16740.426920138521</v>
      </c>
      <c r="W36" s="476">
        <v>16048.287742896468</v>
      </c>
      <c r="X36" s="476">
        <v>16452.699351004667</v>
      </c>
      <c r="Y36" s="476">
        <v>17729.835589695806</v>
      </c>
      <c r="Z36" s="476">
        <v>17996.47472068909</v>
      </c>
      <c r="AA36" s="476">
        <v>26707.552588508879</v>
      </c>
      <c r="AB36" s="476">
        <v>33003.857473758209</v>
      </c>
      <c r="AC36" s="476">
        <v>34766.300538145973</v>
      </c>
      <c r="AD36" s="478">
        <v>35860.085857146325</v>
      </c>
      <c r="AE36" s="476">
        <v>31380.743350871548</v>
      </c>
      <c r="AF36" s="476">
        <v>24873.015638459223</v>
      </c>
      <c r="AG36" s="476">
        <v>18452.331318300472</v>
      </c>
      <c r="AH36" s="476">
        <v>16774.392404512077</v>
      </c>
      <c r="AI36" s="476">
        <v>16046.777069972206</v>
      </c>
      <c r="AJ36" s="476">
        <v>16443.879138656506</v>
      </c>
      <c r="AK36" s="476">
        <v>17715.949671888262</v>
      </c>
      <c r="AL36" s="476">
        <v>17991.924935557843</v>
      </c>
      <c r="AM36" s="476">
        <v>26775.005174749083</v>
      </c>
      <c r="AN36" s="476">
        <v>33180.890622865161</v>
      </c>
      <c r="AO36" s="476">
        <v>34994.116767329419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</row>
    <row r="37" spans="1:208" s="467" customFormat="1" x14ac:dyDescent="0.25">
      <c r="A37" s="543" t="s">
        <v>417</v>
      </c>
      <c r="B37" s="503" t="s">
        <v>581</v>
      </c>
      <c r="C37" s="503"/>
      <c r="D37" s="303" t="s">
        <v>87</v>
      </c>
      <c r="E37" s="544" t="s">
        <v>442</v>
      </c>
      <c r="F37" s="545">
        <v>2631.9720458749739</v>
      </c>
      <c r="G37" s="476">
        <v>2874.0205612744098</v>
      </c>
      <c r="H37" s="476">
        <v>2970.3668458505758</v>
      </c>
      <c r="I37" s="476">
        <v>1834.0726299099615</v>
      </c>
      <c r="J37" s="476">
        <v>1695.3254796632818</v>
      </c>
      <c r="K37" s="476">
        <v>1750.8742632690301</v>
      </c>
      <c r="L37" s="476">
        <v>1848.7775621533851</v>
      </c>
      <c r="M37" s="476">
        <v>1711.8426700986356</v>
      </c>
      <c r="N37" s="476">
        <v>3248.4417426163359</v>
      </c>
      <c r="O37" s="476">
        <v>5275.0665097026531</v>
      </c>
      <c r="P37" s="476">
        <v>3631.0076833512117</v>
      </c>
      <c r="Q37" s="477">
        <v>3266.4337628327198</v>
      </c>
      <c r="R37" s="476">
        <v>2783.8358904313704</v>
      </c>
      <c r="S37" s="476">
        <v>1641.6711370524331</v>
      </c>
      <c r="T37" s="476">
        <v>2030.5748102776804</v>
      </c>
      <c r="U37" s="476">
        <v>1964.0511397969217</v>
      </c>
      <c r="V37" s="476">
        <v>1048.3987668017464</v>
      </c>
      <c r="W37" s="476">
        <v>1240.4274318793809</v>
      </c>
      <c r="X37" s="476">
        <v>1698.7322553637475</v>
      </c>
      <c r="Y37" s="476">
        <v>435.86778794504443</v>
      </c>
      <c r="Z37" s="476">
        <v>3114.8696319185019</v>
      </c>
      <c r="AA37" s="476">
        <v>5633.6142313957707</v>
      </c>
      <c r="AB37" s="476">
        <v>6461.4369313114212</v>
      </c>
      <c r="AC37" s="476">
        <v>4684.7217424231485</v>
      </c>
      <c r="AD37" s="478">
        <v>2809.3167543227391</v>
      </c>
      <c r="AE37" s="476">
        <v>1650.6879305641696</v>
      </c>
      <c r="AF37" s="476">
        <v>2041.0771013935791</v>
      </c>
      <c r="AG37" s="476">
        <v>1972.8895383332913</v>
      </c>
      <c r="AH37" s="476">
        <v>1046.8479736927145</v>
      </c>
      <c r="AI37" s="476">
        <v>1233.7874912544762</v>
      </c>
      <c r="AJ37" s="476">
        <v>1686.2905738773857</v>
      </c>
      <c r="AK37" s="476">
        <v>432.52593496020404</v>
      </c>
      <c r="AL37" s="476">
        <v>3092.4470884344687</v>
      </c>
      <c r="AM37" s="476">
        <v>5611.2989143842797</v>
      </c>
      <c r="AN37" s="476">
        <v>6465.6044502362138</v>
      </c>
      <c r="AO37" s="476">
        <v>4695.4280051436408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</row>
    <row r="38" spans="1:208" s="467" customFormat="1" x14ac:dyDescent="0.25">
      <c r="A38" s="543" t="s">
        <v>417</v>
      </c>
      <c r="B38" s="503" t="s">
        <v>581</v>
      </c>
      <c r="C38" s="503"/>
      <c r="D38" s="303" t="s">
        <v>31</v>
      </c>
      <c r="E38" s="544" t="s">
        <v>425</v>
      </c>
      <c r="F38" s="545">
        <v>1530.9463380121813</v>
      </c>
      <c r="G38" s="476">
        <v>1431.9221024213846</v>
      </c>
      <c r="H38" s="476">
        <v>2113.879059788786</v>
      </c>
      <c r="I38" s="476">
        <v>2316.317684836637</v>
      </c>
      <c r="J38" s="476">
        <v>2806.0341858322008</v>
      </c>
      <c r="K38" s="476">
        <v>2826.2306130027387</v>
      </c>
      <c r="L38" s="476">
        <v>3238.997917498049</v>
      </c>
      <c r="M38" s="476">
        <v>3263.4084864602792</v>
      </c>
      <c r="N38" s="476">
        <v>3113.2141615889796</v>
      </c>
      <c r="O38" s="476">
        <v>4605.5563345197397</v>
      </c>
      <c r="P38" s="476">
        <v>3639.4236880987642</v>
      </c>
      <c r="Q38" s="477">
        <v>2858.6201752221241</v>
      </c>
      <c r="R38" s="476">
        <v>1296.3421633211499</v>
      </c>
      <c r="S38" s="476">
        <v>832.07364351494959</v>
      </c>
      <c r="T38" s="476">
        <v>1328.922435706897</v>
      </c>
      <c r="U38" s="476">
        <v>2342.8904093588621</v>
      </c>
      <c r="V38" s="476">
        <v>2357.5746105906996</v>
      </c>
      <c r="W38" s="476">
        <v>2495.2354427837563</v>
      </c>
      <c r="X38" s="476">
        <v>3113.9985690897552</v>
      </c>
      <c r="Y38" s="476">
        <v>2445.3474366725636</v>
      </c>
      <c r="Z38" s="476">
        <v>3083.5342406378759</v>
      </c>
      <c r="AA38" s="476">
        <v>4891.3671434041071</v>
      </c>
      <c r="AB38" s="476">
        <v>5248.7900312180327</v>
      </c>
      <c r="AC38" s="476">
        <v>3788.7442378129454</v>
      </c>
      <c r="AD38" s="478">
        <v>1310.3404629259912</v>
      </c>
      <c r="AE38" s="476">
        <v>838.00769133816743</v>
      </c>
      <c r="AF38" s="476">
        <v>1337.9733879423779</v>
      </c>
      <c r="AG38" s="476">
        <v>2357.2702685643389</v>
      </c>
      <c r="AH38" s="476">
        <v>2357.9249996103977</v>
      </c>
      <c r="AI38" s="476">
        <v>2485.9246301161052</v>
      </c>
      <c r="AJ38" s="476">
        <v>3096.230708887842</v>
      </c>
      <c r="AK38" s="476">
        <v>2430.5545789690977</v>
      </c>
      <c r="AL38" s="476">
        <v>3066.3279677873365</v>
      </c>
      <c r="AM38" s="476">
        <v>4879.9344374820366</v>
      </c>
      <c r="AN38" s="476">
        <v>5260.7376969411353</v>
      </c>
      <c r="AO38" s="476">
        <v>3803.5935335467693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</row>
    <row r="39" spans="1:208" s="467" customFormat="1" x14ac:dyDescent="0.25">
      <c r="A39" s="539" t="s">
        <v>585</v>
      </c>
      <c r="B39" s="540"/>
      <c r="C39" s="540"/>
      <c r="D39" s="540"/>
      <c r="E39" s="540"/>
      <c r="F39" s="542">
        <v>60197.154917938547</v>
      </c>
      <c r="G39" s="471">
        <v>51551.728921571827</v>
      </c>
      <c r="H39" s="471">
        <v>42796.651218056861</v>
      </c>
      <c r="I39" s="471">
        <v>30474.413287518888</v>
      </c>
      <c r="J39" s="471">
        <v>29649.023298798413</v>
      </c>
      <c r="K39" s="471">
        <v>29569.935465048693</v>
      </c>
      <c r="L39" s="471">
        <v>29615.856086198539</v>
      </c>
      <c r="M39" s="471">
        <v>32653.011264886358</v>
      </c>
      <c r="N39" s="471">
        <v>34776.726407740076</v>
      </c>
      <c r="O39" s="471">
        <v>50921.945607314337</v>
      </c>
      <c r="P39" s="471">
        <v>59871.103059387518</v>
      </c>
      <c r="Q39" s="472">
        <v>60538.469112754894</v>
      </c>
      <c r="R39" s="471">
        <v>60183.563392303971</v>
      </c>
      <c r="S39" s="471">
        <v>49743.526607585591</v>
      </c>
      <c r="T39" s="471">
        <v>41047.394042307395</v>
      </c>
      <c r="U39" s="471">
        <v>30502.93885049587</v>
      </c>
      <c r="V39" s="471">
        <v>28577.298519457203</v>
      </c>
      <c r="W39" s="471">
        <v>28605.79264788076</v>
      </c>
      <c r="X39" s="471">
        <v>29013.595326399773</v>
      </c>
      <c r="Y39" s="471">
        <v>30576.284990258737</v>
      </c>
      <c r="Z39" s="471">
        <v>34253.571405026807</v>
      </c>
      <c r="AA39" s="471">
        <v>51052.242873313291</v>
      </c>
      <c r="AB39" s="471">
        <v>63563.738126473647</v>
      </c>
      <c r="AC39" s="471">
        <v>62567.56108822189</v>
      </c>
      <c r="AD39" s="473">
        <v>60698.012496481126</v>
      </c>
      <c r="AE39" s="471">
        <v>50005.126143266934</v>
      </c>
      <c r="AF39" s="471">
        <v>41269.788200007926</v>
      </c>
      <c r="AG39" s="471">
        <v>30671.249622941341</v>
      </c>
      <c r="AH39" s="471">
        <v>28591.3292240681</v>
      </c>
      <c r="AI39" s="471">
        <v>28534.579993324627</v>
      </c>
      <c r="AJ39" s="471">
        <v>28912.09477546941</v>
      </c>
      <c r="AK39" s="471">
        <v>30460.502292907844</v>
      </c>
      <c r="AL39" s="471">
        <v>34129.554928218073</v>
      </c>
      <c r="AM39" s="471">
        <v>51020.96492191076</v>
      </c>
      <c r="AN39" s="471">
        <v>63755.010832340413</v>
      </c>
      <c r="AO39" s="471">
        <v>62850.690892476108</v>
      </c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</row>
    <row r="40" spans="1:208" x14ac:dyDescent="0.25">
      <c r="A40" s="522" t="s">
        <v>419</v>
      </c>
      <c r="B40" s="505" t="s">
        <v>760</v>
      </c>
      <c r="C40" s="505"/>
      <c r="D40" s="439" t="s">
        <v>51</v>
      </c>
      <c r="E40" s="505" t="s">
        <v>756</v>
      </c>
      <c r="F40" s="523">
        <v>0</v>
      </c>
      <c r="G40" s="453">
        <v>0</v>
      </c>
      <c r="H40" s="453">
        <v>0</v>
      </c>
      <c r="I40" s="453">
        <v>60726.099999999991</v>
      </c>
      <c r="J40" s="453">
        <v>82534.099999999991</v>
      </c>
      <c r="K40" s="453">
        <v>150532.99999999997</v>
      </c>
      <c r="L40" s="453">
        <v>152626.09999999998</v>
      </c>
      <c r="M40" s="453">
        <v>158027.29999999999</v>
      </c>
      <c r="N40" s="453">
        <v>58774.899999999987</v>
      </c>
      <c r="O40" s="453">
        <v>0</v>
      </c>
      <c r="P40" s="453">
        <v>0</v>
      </c>
      <c r="Q40" s="454">
        <v>0</v>
      </c>
      <c r="R40" s="453">
        <v>0</v>
      </c>
      <c r="S40" s="453">
        <v>0</v>
      </c>
      <c r="T40" s="453">
        <v>0</v>
      </c>
      <c r="U40" s="453">
        <v>0</v>
      </c>
      <c r="V40" s="453">
        <v>0</v>
      </c>
      <c r="W40" s="453">
        <v>0</v>
      </c>
      <c r="X40" s="453">
        <v>0</v>
      </c>
      <c r="Y40" s="453">
        <v>0</v>
      </c>
      <c r="Z40" s="453">
        <v>0</v>
      </c>
      <c r="AA40" s="453">
        <v>0</v>
      </c>
      <c r="AB40" s="453">
        <v>0</v>
      </c>
      <c r="AC40" s="453">
        <v>0</v>
      </c>
      <c r="AD40" s="460">
        <v>0</v>
      </c>
      <c r="AE40" s="453">
        <v>0</v>
      </c>
      <c r="AF40" s="453">
        <v>0</v>
      </c>
      <c r="AG40" s="453">
        <v>0</v>
      </c>
      <c r="AH40" s="453">
        <v>0</v>
      </c>
      <c r="AI40" s="453">
        <v>0</v>
      </c>
      <c r="AJ40" s="453">
        <v>0</v>
      </c>
      <c r="AK40" s="453">
        <v>0</v>
      </c>
      <c r="AL40" s="453">
        <v>0</v>
      </c>
      <c r="AM40" s="453">
        <v>0</v>
      </c>
      <c r="AN40" s="453">
        <v>0</v>
      </c>
      <c r="AO40" s="453">
        <v>0</v>
      </c>
    </row>
    <row r="41" spans="1:208" x14ac:dyDescent="0.25">
      <c r="A41" s="518" t="s">
        <v>150</v>
      </c>
      <c r="B41" s="546" t="s">
        <v>761</v>
      </c>
      <c r="C41" s="546"/>
      <c r="D41" s="480" t="s">
        <v>34</v>
      </c>
      <c r="E41" s="546" t="s">
        <v>35</v>
      </c>
      <c r="F41" s="547">
        <v>12191.799999999996</v>
      </c>
      <c r="G41" s="481">
        <v>12236.499999999998</v>
      </c>
      <c r="H41" s="481">
        <v>12368.999999999998</v>
      </c>
      <c r="I41" s="481">
        <v>8152.7999999999984</v>
      </c>
      <c r="J41" s="481">
        <v>10349.499999999996</v>
      </c>
      <c r="K41" s="481">
        <v>12324.299999999996</v>
      </c>
      <c r="L41" s="481">
        <v>12191.799999999996</v>
      </c>
      <c r="M41" s="481">
        <v>13264.999999999995</v>
      </c>
      <c r="N41" s="481">
        <v>12324.299999999996</v>
      </c>
      <c r="O41" s="481">
        <v>8240.5999999999985</v>
      </c>
      <c r="P41" s="481">
        <v>14564.099999999999</v>
      </c>
      <c r="Q41" s="482">
        <v>12191.799999999996</v>
      </c>
      <c r="R41" s="448">
        <v>12279.599999999999</v>
      </c>
      <c r="S41" s="448">
        <v>12236.5</v>
      </c>
      <c r="T41" s="448">
        <v>14343.800000000001</v>
      </c>
      <c r="U41" s="448">
        <v>13360.1</v>
      </c>
      <c r="V41" s="448">
        <v>11245.5</v>
      </c>
      <c r="W41" s="448">
        <v>14211.300000000001</v>
      </c>
      <c r="X41" s="448">
        <v>13182.9</v>
      </c>
      <c r="Y41" s="448">
        <v>13395.9</v>
      </c>
      <c r="Z41" s="448">
        <v>12191.8</v>
      </c>
      <c r="AA41" s="448">
        <v>14343.800000000001</v>
      </c>
      <c r="AB41" s="448">
        <v>15460.099999999999</v>
      </c>
      <c r="AC41" s="448">
        <v>12236.5</v>
      </c>
      <c r="AD41" s="455">
        <v>12279.599999999997</v>
      </c>
      <c r="AE41" s="448">
        <v>11338.999999999998</v>
      </c>
      <c r="AF41" s="448">
        <v>12191.899999999994</v>
      </c>
      <c r="AG41" s="448">
        <v>13486.899999999996</v>
      </c>
      <c r="AH41" s="448">
        <v>12279.599999999997</v>
      </c>
      <c r="AI41" s="448">
        <v>12191.799999999997</v>
      </c>
      <c r="AJ41" s="448">
        <v>13352.799999999997</v>
      </c>
      <c r="AK41" s="448">
        <v>12191.799999999997</v>
      </c>
      <c r="AL41" s="448">
        <v>12191.799999999997</v>
      </c>
      <c r="AM41" s="448">
        <v>11245.499999999998</v>
      </c>
      <c r="AN41" s="448">
        <v>18558.5</v>
      </c>
      <c r="AO41" s="448">
        <v>12281.199999999999</v>
      </c>
    </row>
    <row r="42" spans="1:208" x14ac:dyDescent="0.25">
      <c r="A42" s="518" t="s">
        <v>263</v>
      </c>
      <c r="B42" s="546"/>
      <c r="C42" s="546"/>
      <c r="D42" s="546"/>
      <c r="E42" s="546"/>
      <c r="F42" s="547">
        <v>8246557.5165797025</v>
      </c>
      <c r="G42" s="481">
        <v>7067114.6186155044</v>
      </c>
      <c r="H42" s="481">
        <v>5114025.4901861344</v>
      </c>
      <c r="I42" s="481">
        <v>2813985.0121048689</v>
      </c>
      <c r="J42" s="481">
        <v>2008757.5112164607</v>
      </c>
      <c r="K42" s="481">
        <v>1678049.2111714822</v>
      </c>
      <c r="L42" s="481">
        <v>1632183.3828534991</v>
      </c>
      <c r="M42" s="481">
        <v>1699164.4805170395</v>
      </c>
      <c r="N42" s="481">
        <v>1689041.245915096</v>
      </c>
      <c r="O42" s="481">
        <v>2613809.3697595159</v>
      </c>
      <c r="P42" s="481">
        <v>4447683.391928155</v>
      </c>
      <c r="Q42" s="482">
        <v>6824146.958073454</v>
      </c>
      <c r="R42" s="483">
        <v>8131761.2748845937</v>
      </c>
      <c r="S42" s="483">
        <v>6969141.6296671107</v>
      </c>
      <c r="T42" s="483">
        <v>5044971.9506157851</v>
      </c>
      <c r="U42" s="483">
        <v>2720525.0139201083</v>
      </c>
      <c r="V42" s="483">
        <v>1901211.2146665449</v>
      </c>
      <c r="W42" s="483">
        <v>1509127.459791183</v>
      </c>
      <c r="X42" s="483">
        <v>1460734.0751009649</v>
      </c>
      <c r="Y42" s="483">
        <v>1521345.2675550922</v>
      </c>
      <c r="Z42" s="483">
        <v>1608014.5293030741</v>
      </c>
      <c r="AA42" s="483">
        <v>2583796.9950340078</v>
      </c>
      <c r="AB42" s="483">
        <v>4386579.5670581423</v>
      </c>
      <c r="AC42" s="483">
        <v>6728814.8365725735</v>
      </c>
      <c r="AD42" s="484">
        <v>8097443.0575118065</v>
      </c>
      <c r="AE42" s="483">
        <v>6938838.3827076834</v>
      </c>
      <c r="AF42" s="483">
        <v>5021911.6099013258</v>
      </c>
      <c r="AG42" s="483">
        <v>2710261.2947777826</v>
      </c>
      <c r="AH42" s="483">
        <v>1895546.3563737208</v>
      </c>
      <c r="AI42" s="483">
        <v>1502259.7746705506</v>
      </c>
      <c r="AJ42" s="483">
        <v>1456390.1621853847</v>
      </c>
      <c r="AK42" s="483">
        <v>1515440.9704968927</v>
      </c>
      <c r="AL42" s="483">
        <v>1603051.8532012869</v>
      </c>
      <c r="AM42" s="483">
        <v>2572427.2933244221</v>
      </c>
      <c r="AN42" s="483">
        <v>4373466.4019012181</v>
      </c>
      <c r="AO42" s="483">
        <v>6701382.6721191965</v>
      </c>
    </row>
    <row r="43" spans="1:208" s="467" customFormat="1" x14ac:dyDescent="0.25">
      <c r="A43" s="548"/>
      <c r="B43" s="548"/>
      <c r="C43" s="548"/>
      <c r="D43" s="548"/>
      <c r="E43" s="548"/>
      <c r="F43" s="549"/>
      <c r="G43" s="549" t="s">
        <v>586</v>
      </c>
      <c r="H43" s="549" t="s">
        <v>586</v>
      </c>
      <c r="I43" s="549" t="s">
        <v>586</v>
      </c>
      <c r="J43" s="549" t="s">
        <v>586</v>
      </c>
      <c r="K43" s="549" t="s">
        <v>586</v>
      </c>
      <c r="L43" s="549" t="s">
        <v>586</v>
      </c>
      <c r="M43" s="549" t="s">
        <v>586</v>
      </c>
      <c r="N43" s="549" t="s">
        <v>586</v>
      </c>
      <c r="O43" s="549" t="s">
        <v>586</v>
      </c>
      <c r="P43" s="549" t="s">
        <v>586</v>
      </c>
      <c r="Q43" s="550" t="s">
        <v>586</v>
      </c>
      <c r="R43" s="549" t="s">
        <v>586</v>
      </c>
      <c r="S43" s="549" t="s">
        <v>586</v>
      </c>
      <c r="T43" s="549" t="s">
        <v>586</v>
      </c>
      <c r="U43" s="549" t="s">
        <v>586</v>
      </c>
      <c r="V43" s="549" t="s">
        <v>586</v>
      </c>
      <c r="W43" s="549" t="s">
        <v>586</v>
      </c>
      <c r="X43" s="549" t="s">
        <v>586</v>
      </c>
      <c r="Y43" s="549" t="s">
        <v>586</v>
      </c>
      <c r="Z43" s="549" t="s">
        <v>586</v>
      </c>
      <c r="AA43" s="549" t="s">
        <v>586</v>
      </c>
      <c r="AB43" s="549" t="s">
        <v>586</v>
      </c>
      <c r="AC43" s="550" t="s">
        <v>586</v>
      </c>
      <c r="AD43" s="549" t="s">
        <v>586</v>
      </c>
      <c r="AE43" s="549" t="s">
        <v>586</v>
      </c>
      <c r="AF43" s="549" t="s">
        <v>586</v>
      </c>
      <c r="AG43" s="549" t="s">
        <v>586</v>
      </c>
      <c r="AH43" s="549" t="s">
        <v>586</v>
      </c>
      <c r="AI43" s="549" t="s">
        <v>586</v>
      </c>
      <c r="AJ43" s="549" t="s">
        <v>586</v>
      </c>
      <c r="AK43" s="549" t="s">
        <v>586</v>
      </c>
      <c r="AL43" s="549" t="s">
        <v>586</v>
      </c>
      <c r="AM43" s="549" t="s">
        <v>586</v>
      </c>
      <c r="AN43" s="549" t="s">
        <v>586</v>
      </c>
      <c r="AO43" s="550" t="s">
        <v>586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</row>
    <row r="44" spans="1:208" s="467" customFormat="1" x14ac:dyDescent="0.25">
      <c r="A44" s="487" t="s">
        <v>587</v>
      </c>
      <c r="B44" s="548"/>
      <c r="C44" s="548"/>
      <c r="D44" s="548"/>
      <c r="E44" s="548"/>
      <c r="F44" s="551" t="s">
        <v>586</v>
      </c>
      <c r="G44" s="551" t="s">
        <v>586</v>
      </c>
      <c r="H44" s="551" t="s">
        <v>586</v>
      </c>
      <c r="I44" s="551" t="s">
        <v>586</v>
      </c>
      <c r="J44" s="551" t="s">
        <v>586</v>
      </c>
      <c r="K44" s="551" t="s">
        <v>586</v>
      </c>
      <c r="L44" s="551" t="s">
        <v>586</v>
      </c>
      <c r="M44" s="551" t="s">
        <v>586</v>
      </c>
      <c r="N44" s="551" t="s">
        <v>586</v>
      </c>
      <c r="O44" s="551" t="s">
        <v>586</v>
      </c>
      <c r="P44" s="551" t="s">
        <v>586</v>
      </c>
      <c r="Q44" s="552" t="s">
        <v>586</v>
      </c>
      <c r="R44" s="551" t="s">
        <v>586</v>
      </c>
      <c r="S44" s="551" t="s">
        <v>586</v>
      </c>
      <c r="T44" s="551" t="s">
        <v>586</v>
      </c>
      <c r="U44" s="551" t="s">
        <v>586</v>
      </c>
      <c r="V44" s="551" t="s">
        <v>586</v>
      </c>
      <c r="W44" s="551" t="s">
        <v>586</v>
      </c>
      <c r="X44" s="551" t="s">
        <v>586</v>
      </c>
      <c r="Y44" s="551" t="s">
        <v>586</v>
      </c>
      <c r="Z44" s="551" t="s">
        <v>586</v>
      </c>
      <c r="AA44" s="551" t="s">
        <v>586</v>
      </c>
      <c r="AB44" s="551" t="s">
        <v>586</v>
      </c>
      <c r="AC44" s="552" t="s">
        <v>586</v>
      </c>
      <c r="AD44" s="551" t="s">
        <v>586</v>
      </c>
      <c r="AE44" s="551" t="s">
        <v>586</v>
      </c>
      <c r="AF44" s="551" t="s">
        <v>586</v>
      </c>
      <c r="AG44" s="551" t="s">
        <v>586</v>
      </c>
      <c r="AH44" s="551" t="s">
        <v>586</v>
      </c>
      <c r="AI44" s="551" t="s">
        <v>586</v>
      </c>
      <c r="AJ44" s="551" t="s">
        <v>586</v>
      </c>
      <c r="AK44" s="551" t="s">
        <v>586</v>
      </c>
      <c r="AL44" s="551" t="s">
        <v>586</v>
      </c>
      <c r="AM44" s="551" t="s">
        <v>586</v>
      </c>
      <c r="AN44" s="551" t="s">
        <v>586</v>
      </c>
      <c r="AO44" s="552" t="s">
        <v>586</v>
      </c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</row>
    <row r="45" spans="1:208" s="467" customFormat="1" x14ac:dyDescent="0.25">
      <c r="A45" s="553" t="s">
        <v>588</v>
      </c>
      <c r="B45" s="554"/>
      <c r="C45" s="554"/>
      <c r="D45" s="554"/>
      <c r="E45" s="554"/>
      <c r="F45" s="555">
        <v>37534.756254148364</v>
      </c>
      <c r="G45" s="555">
        <v>37910.117741864706</v>
      </c>
      <c r="H45" s="555">
        <v>47313.709714891942</v>
      </c>
      <c r="I45" s="555">
        <v>42184.984034839494</v>
      </c>
      <c r="J45" s="555">
        <v>47523.994652671921</v>
      </c>
      <c r="K45" s="555">
        <v>48160.764842040327</v>
      </c>
      <c r="L45" s="555">
        <v>54121.626275922259</v>
      </c>
      <c r="M45" s="555">
        <v>53503.751481782492</v>
      </c>
      <c r="N45" s="555">
        <v>62024.389752273288</v>
      </c>
      <c r="O45" s="555">
        <v>94948.122832035529</v>
      </c>
      <c r="P45" s="555">
        <v>71375.987906700946</v>
      </c>
      <c r="Q45" s="555">
        <v>58880.64310594384</v>
      </c>
      <c r="R45" s="555">
        <v>35557.651583688785</v>
      </c>
      <c r="S45" s="555">
        <v>21836.116370449832</v>
      </c>
      <c r="T45" s="555">
        <v>30854.149025948664</v>
      </c>
      <c r="U45" s="555">
        <v>43409.604486726588</v>
      </c>
      <c r="V45" s="555">
        <v>37372.414310469074</v>
      </c>
      <c r="W45" s="555">
        <v>40444.017873940502</v>
      </c>
      <c r="X45" s="555">
        <v>51497.898374693214</v>
      </c>
      <c r="Y45" s="555">
        <v>34333.784143028155</v>
      </c>
      <c r="Z45" s="555">
        <v>60735.475355316172</v>
      </c>
      <c r="AA45" s="555">
        <v>101052.44948831561</v>
      </c>
      <c r="AB45" s="555">
        <v>111266.08091987476</v>
      </c>
      <c r="AC45" s="555">
        <v>80455.812045834042</v>
      </c>
      <c r="AD45" s="555">
        <v>35910.475368709092</v>
      </c>
      <c r="AE45" s="555">
        <v>21973.547325295098</v>
      </c>
      <c r="AF45" s="555">
        <v>31041.665363646382</v>
      </c>
      <c r="AG45" s="555">
        <v>43654.170159014728</v>
      </c>
      <c r="AH45" s="555">
        <v>37366.365376723625</v>
      </c>
      <c r="AI45" s="555">
        <v>40279.428218857676</v>
      </c>
      <c r="AJ45" s="555">
        <v>51185.370608536563</v>
      </c>
      <c r="AK45" s="555">
        <v>34121.291587778149</v>
      </c>
      <c r="AL45" s="555">
        <v>60362.291556514043</v>
      </c>
      <c r="AM45" s="555">
        <v>100754.0613021279</v>
      </c>
      <c r="AN45" s="555">
        <v>111447.68749200791</v>
      </c>
      <c r="AO45" s="555">
        <v>80719.09961907423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</row>
    <row r="46" spans="1:208" s="467" customFormat="1" x14ac:dyDescent="0.25">
      <c r="A46" s="556" t="s">
        <v>589</v>
      </c>
      <c r="B46" s="557"/>
      <c r="C46" s="557"/>
      <c r="D46" s="557"/>
      <c r="E46" s="557"/>
      <c r="F46" s="558">
        <v>1484073.9098487264</v>
      </c>
      <c r="G46" s="558">
        <v>1308156.1028443361</v>
      </c>
      <c r="H46" s="558">
        <v>1027482.1084118412</v>
      </c>
      <c r="I46" s="558">
        <v>757887.73507082695</v>
      </c>
      <c r="J46" s="558">
        <v>694470.67871221853</v>
      </c>
      <c r="K46" s="558">
        <v>673416.28373752686</v>
      </c>
      <c r="L46" s="558">
        <v>690915.69159683492</v>
      </c>
      <c r="M46" s="558">
        <v>741329.34872581786</v>
      </c>
      <c r="N46" s="558">
        <v>762128.82826016564</v>
      </c>
      <c r="O46" s="558">
        <v>1125675.7807157252</v>
      </c>
      <c r="P46" s="558">
        <v>1398364.9959304291</v>
      </c>
      <c r="Q46" s="558">
        <v>1456705.2100018915</v>
      </c>
      <c r="R46" s="558">
        <v>1482377.9423725773</v>
      </c>
      <c r="S46" s="558">
        <v>1292044.6670229437</v>
      </c>
      <c r="T46" s="558">
        <v>1025393.3687269463</v>
      </c>
      <c r="U46" s="558">
        <v>753945.42878477962</v>
      </c>
      <c r="V46" s="558">
        <v>694117.69119878381</v>
      </c>
      <c r="W46" s="558">
        <v>668945.13728479715</v>
      </c>
      <c r="X46" s="558">
        <v>680591.10753274302</v>
      </c>
      <c r="Y46" s="558">
        <v>739700.91559834802</v>
      </c>
      <c r="Z46" s="558">
        <v>751175.67697601393</v>
      </c>
      <c r="AA46" s="558">
        <v>1110162.8753877208</v>
      </c>
      <c r="AB46" s="558">
        <v>1378973.1772485732</v>
      </c>
      <c r="AC46" s="558">
        <v>1448519.9537332633</v>
      </c>
      <c r="AD46" s="558">
        <v>1494976.0285099696</v>
      </c>
      <c r="AE46" s="558">
        <v>1299051.378073747</v>
      </c>
      <c r="AF46" s="558">
        <v>1031344.0046395207</v>
      </c>
      <c r="AG46" s="558">
        <v>758608.84245954687</v>
      </c>
      <c r="AH46" s="558">
        <v>695362.09948749072</v>
      </c>
      <c r="AI46" s="558">
        <v>668637.59473063482</v>
      </c>
      <c r="AJ46" s="558">
        <v>679950.63744641689</v>
      </c>
      <c r="AK46" s="558">
        <v>738770.69875468558</v>
      </c>
      <c r="AL46" s="558">
        <v>750625.38036447368</v>
      </c>
      <c r="AM46" s="558">
        <v>1112498.4266601878</v>
      </c>
      <c r="AN46" s="558">
        <v>1385895.5178327106</v>
      </c>
      <c r="AO46" s="558">
        <v>1457570.6494544155</v>
      </c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</row>
    <row r="47" spans="1:208" s="467" customFormat="1" x14ac:dyDescent="0.25">
      <c r="A47" s="559" t="s">
        <v>759</v>
      </c>
      <c r="B47" s="560"/>
      <c r="C47" s="560"/>
      <c r="D47" s="560"/>
      <c r="E47" s="560"/>
      <c r="F47" s="561">
        <v>12191.799999999996</v>
      </c>
      <c r="G47" s="561">
        <v>12236.499999999998</v>
      </c>
      <c r="H47" s="561">
        <v>12368.999999999998</v>
      </c>
      <c r="I47" s="561">
        <v>68878.899999999994</v>
      </c>
      <c r="J47" s="561">
        <v>92883.599999999991</v>
      </c>
      <c r="K47" s="561">
        <v>162857.29999999996</v>
      </c>
      <c r="L47" s="561">
        <v>164817.89999999997</v>
      </c>
      <c r="M47" s="561">
        <v>171292.3</v>
      </c>
      <c r="N47" s="561">
        <v>71099.199999999983</v>
      </c>
      <c r="O47" s="561">
        <v>8240.5999999999985</v>
      </c>
      <c r="P47" s="561">
        <v>14564.099999999999</v>
      </c>
      <c r="Q47" s="561">
        <v>12191.799999999996</v>
      </c>
      <c r="R47" s="561">
        <v>12279.599999999999</v>
      </c>
      <c r="S47" s="561">
        <v>12236.5</v>
      </c>
      <c r="T47" s="561">
        <v>14343.800000000001</v>
      </c>
      <c r="U47" s="561">
        <v>13360.1</v>
      </c>
      <c r="V47" s="561">
        <v>11245.5</v>
      </c>
      <c r="W47" s="561">
        <v>14211.300000000001</v>
      </c>
      <c r="X47" s="561">
        <v>13182.9</v>
      </c>
      <c r="Y47" s="561">
        <v>13395.9</v>
      </c>
      <c r="Z47" s="561">
        <v>12191.8</v>
      </c>
      <c r="AA47" s="561">
        <v>14343.800000000001</v>
      </c>
      <c r="AB47" s="561">
        <v>15460.099999999999</v>
      </c>
      <c r="AC47" s="561">
        <v>12236.5</v>
      </c>
      <c r="AD47" s="561">
        <v>12279.599999999997</v>
      </c>
      <c r="AE47" s="561">
        <v>11338.999999999998</v>
      </c>
      <c r="AF47" s="561">
        <v>12191.899999999994</v>
      </c>
      <c r="AG47" s="561">
        <v>13486.899999999996</v>
      </c>
      <c r="AH47" s="561">
        <v>12279.599999999997</v>
      </c>
      <c r="AI47" s="561">
        <v>12191.799999999997</v>
      </c>
      <c r="AJ47" s="561">
        <v>13352.799999999997</v>
      </c>
      <c r="AK47" s="561">
        <v>12191.799999999997</v>
      </c>
      <c r="AL47" s="561">
        <v>12191.799999999997</v>
      </c>
      <c r="AM47" s="561">
        <v>11245.499999999998</v>
      </c>
      <c r="AN47" s="561">
        <v>18558.5</v>
      </c>
      <c r="AO47" s="561">
        <v>12281.199999999999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</row>
    <row r="48" spans="1:208" s="467" customFormat="1" x14ac:dyDescent="0.25">
      <c r="A48" s="606"/>
      <c r="B48" s="606"/>
      <c r="C48" s="606"/>
      <c r="D48" s="606"/>
      <c r="E48" s="606"/>
      <c r="F48" s="607"/>
      <c r="G48" s="607"/>
      <c r="H48" s="607"/>
      <c r="I48" s="607"/>
      <c r="J48" s="607"/>
      <c r="K48" s="607"/>
      <c r="L48" s="607"/>
      <c r="M48" s="607"/>
      <c r="N48" s="607"/>
      <c r="O48" s="607"/>
      <c r="P48" s="607"/>
      <c r="Q48" s="607"/>
      <c r="R48" s="607"/>
      <c r="S48" s="607"/>
      <c r="T48" s="607"/>
      <c r="U48" s="607"/>
      <c r="V48" s="607"/>
      <c r="W48" s="607"/>
      <c r="X48" s="607">
        <f>X41*10</f>
        <v>131829</v>
      </c>
      <c r="Y48" s="607">
        <f t="shared" ref="Y48:AI48" si="0">Y41*10</f>
        <v>133959</v>
      </c>
      <c r="Z48" s="607">
        <f t="shared" si="0"/>
        <v>121918</v>
      </c>
      <c r="AA48" s="607">
        <f t="shared" si="0"/>
        <v>143438</v>
      </c>
      <c r="AB48" s="607">
        <f t="shared" si="0"/>
        <v>154601</v>
      </c>
      <c r="AC48" s="607">
        <f t="shared" si="0"/>
        <v>122365</v>
      </c>
      <c r="AD48" s="607">
        <f t="shared" si="0"/>
        <v>122795.99999999997</v>
      </c>
      <c r="AE48" s="607">
        <f t="shared" si="0"/>
        <v>113389.99999999999</v>
      </c>
      <c r="AF48" s="607">
        <f t="shared" si="0"/>
        <v>121918.99999999994</v>
      </c>
      <c r="AG48" s="607">
        <f t="shared" si="0"/>
        <v>134868.99999999997</v>
      </c>
      <c r="AH48" s="607">
        <f t="shared" si="0"/>
        <v>122795.99999999997</v>
      </c>
      <c r="AI48" s="607">
        <f t="shared" si="0"/>
        <v>121917.99999999997</v>
      </c>
      <c r="AJ48" s="607"/>
      <c r="AK48" s="607"/>
      <c r="AL48" s="607"/>
      <c r="AM48" s="607"/>
      <c r="AN48" s="607"/>
      <c r="AO48" s="607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</row>
    <row r="49" spans="1:208" s="467" customFormat="1" x14ac:dyDescent="0.25">
      <c r="A49" s="606"/>
      <c r="B49" s="606"/>
      <c r="C49" s="606"/>
      <c r="D49" s="606"/>
      <c r="E49" s="606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607"/>
      <c r="U49" s="607"/>
      <c r="V49" s="607"/>
      <c r="W49" s="607"/>
      <c r="X49" s="607">
        <f>SUBTOTAL(9,X30:X38)*10</f>
        <v>8178909.8884567935</v>
      </c>
      <c r="Y49" s="607">
        <f t="shared" ref="Y49:AI49" si="1">SUBTOTAL(9,Y30:Y38)*10</f>
        <v>8589973.7923258189</v>
      </c>
      <c r="Z49" s="607">
        <f t="shared" si="1"/>
        <v>9083446.6644473225</v>
      </c>
      <c r="AA49" s="607">
        <f t="shared" si="1"/>
        <v>13555603.126194831</v>
      </c>
      <c r="AB49" s="607">
        <f t="shared" si="1"/>
        <v>16640185.660657009</v>
      </c>
      <c r="AC49" s="607">
        <f t="shared" si="1"/>
        <v>16857641.433426667</v>
      </c>
      <c r="AD49" s="607">
        <f t="shared" si="1"/>
        <v>16599605.951254815</v>
      </c>
      <c r="AE49" s="607">
        <f t="shared" si="1"/>
        <v>14223273.908952501</v>
      </c>
      <c r="AF49" s="607">
        <f t="shared" si="1"/>
        <v>11528434.900281705</v>
      </c>
      <c r="AG49" s="607">
        <f t="shared" si="1"/>
        <v>8812341.4944503549</v>
      </c>
      <c r="AH49" s="607">
        <f t="shared" si="1"/>
        <v>8108106.9707318265</v>
      </c>
      <c r="AI49" s="607">
        <f t="shared" si="1"/>
        <v>7892856.1587710902</v>
      </c>
      <c r="AJ49" s="607"/>
      <c r="AK49" s="607"/>
      <c r="AL49" s="607"/>
      <c r="AM49" s="607"/>
      <c r="AN49" s="607"/>
      <c r="AO49" s="607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</row>
    <row r="50" spans="1:208" s="467" customFormat="1" x14ac:dyDescent="0.25">
      <c r="A50" s="606"/>
      <c r="B50" s="606"/>
      <c r="C50" s="606"/>
      <c r="D50" s="606"/>
      <c r="E50" s="606"/>
      <c r="F50" s="607"/>
      <c r="G50" s="607"/>
      <c r="H50" s="607"/>
      <c r="I50" s="607"/>
      <c r="J50" s="607"/>
      <c r="K50" s="607"/>
      <c r="L50" s="607"/>
      <c r="M50" s="607"/>
      <c r="N50" s="607"/>
      <c r="O50" s="607"/>
      <c r="P50" s="607"/>
      <c r="Q50" s="607"/>
      <c r="R50" s="607"/>
      <c r="S50" s="607"/>
      <c r="T50" s="607"/>
      <c r="U50" s="607"/>
      <c r="V50" s="607"/>
      <c r="W50" s="607"/>
      <c r="X50" s="607"/>
      <c r="Y50" s="607"/>
      <c r="Z50" s="607"/>
      <c r="AA50" s="607"/>
      <c r="AB50" s="607"/>
      <c r="AC50" s="607"/>
      <c r="AD50" s="607"/>
      <c r="AE50" s="607"/>
      <c r="AF50" s="607"/>
      <c r="AG50" s="607"/>
      <c r="AH50" s="607"/>
      <c r="AI50" s="607"/>
      <c r="AJ50" s="607"/>
      <c r="AK50" s="607"/>
      <c r="AL50" s="607"/>
      <c r="AM50" s="607"/>
      <c r="AN50" s="607"/>
      <c r="AO50" s="607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</row>
    <row r="51" spans="1:208" x14ac:dyDescent="0.25">
      <c r="K51" s="499"/>
    </row>
    <row r="52" spans="1:208" x14ac:dyDescent="0.25">
      <c r="E52" s="602" t="s">
        <v>635</v>
      </c>
      <c r="X52" s="499">
        <f>SUM(X31,X34,X39,X41)</f>
        <v>763423.33751380467</v>
      </c>
      <c r="Y52" s="499">
        <f t="shared" ref="Y52:AI52" si="2">SUM(Y31,Y34,Y39,Y41)</f>
        <v>805596.30311901704</v>
      </c>
      <c r="Z52" s="499">
        <f t="shared" si="2"/>
        <v>845214.29668393778</v>
      </c>
      <c r="AA52" s="499">
        <f t="shared" si="2"/>
        <v>1257900.2916959412</v>
      </c>
      <c r="AB52" s="499">
        <f t="shared" si="2"/>
        <v>1545164.652573518</v>
      </c>
      <c r="AC52" s="499">
        <f t="shared" si="2"/>
        <v>1580663.2880596665</v>
      </c>
      <c r="AD52" s="499">
        <f t="shared" si="2"/>
        <v>1581835.5064901477</v>
      </c>
      <c r="AE52" s="499">
        <f t="shared" si="2"/>
        <v>1365395.3566804777</v>
      </c>
      <c r="AF52" s="499">
        <f t="shared" si="2"/>
        <v>1101491.6627430196</v>
      </c>
      <c r="AG52" s="499">
        <f t="shared" si="2"/>
        <v>836175.13347519538</v>
      </c>
      <c r="AH52" s="499">
        <f t="shared" si="2"/>
        <v>762829.30524241924</v>
      </c>
      <c r="AI52" s="499">
        <f t="shared" si="2"/>
        <v>738389.38751071924</v>
      </c>
    </row>
    <row r="53" spans="1:208" x14ac:dyDescent="0.25">
      <c r="E53" s="602"/>
      <c r="X53" s="499">
        <f>SUM(X52:AI52)</f>
        <v>13184078.521787863</v>
      </c>
    </row>
    <row r="54" spans="1:208" x14ac:dyDescent="0.25">
      <c r="E54" s="602"/>
      <c r="F54" s="435">
        <v>1</v>
      </c>
      <c r="G54" s="435">
        <v>2</v>
      </c>
      <c r="H54" s="435">
        <v>3</v>
      </c>
      <c r="I54" s="435">
        <v>4</v>
      </c>
      <c r="J54" s="435">
        <v>5</v>
      </c>
      <c r="K54" s="435">
        <v>6</v>
      </c>
      <c r="L54" s="435">
        <v>7</v>
      </c>
      <c r="M54" s="435">
        <v>8</v>
      </c>
      <c r="N54" s="435">
        <v>9</v>
      </c>
      <c r="O54" s="435">
        <v>10</v>
      </c>
      <c r="P54" s="435">
        <v>11</v>
      </c>
      <c r="Q54" s="435">
        <v>12</v>
      </c>
    </row>
    <row r="55" spans="1:208" x14ac:dyDescent="0.25">
      <c r="E55" s="602" t="s">
        <v>427</v>
      </c>
      <c r="F55" s="435">
        <v>0.84</v>
      </c>
      <c r="G55" s="435">
        <v>0.85</v>
      </c>
      <c r="H55" s="435">
        <v>0.89</v>
      </c>
      <c r="I55" s="435">
        <v>0.95</v>
      </c>
      <c r="J55" s="435">
        <v>0.96</v>
      </c>
      <c r="K55" s="435">
        <v>0.96</v>
      </c>
      <c r="L55" s="435">
        <v>0.97</v>
      </c>
      <c r="M55" s="435">
        <v>0.97</v>
      </c>
      <c r="N55" s="435">
        <v>0.97</v>
      </c>
      <c r="O55" s="435">
        <v>0.96</v>
      </c>
      <c r="P55" s="435">
        <v>0.92</v>
      </c>
      <c r="Q55" s="435">
        <v>0.9</v>
      </c>
      <c r="X55" s="601">
        <f>SUM(X7,X13,X18,X26,X27)</f>
        <v>697310.73758716008</v>
      </c>
      <c r="Y55" s="601">
        <f t="shared" ref="Y55:AI55" si="3">SUM(Y7,Y13,Y18,Y26,Y27)</f>
        <v>715748.96443607518</v>
      </c>
      <c r="Z55" s="601">
        <f t="shared" si="3"/>
        <v>762800.23261913646</v>
      </c>
      <c r="AA55" s="601">
        <f t="shared" si="3"/>
        <v>1325896.7033380666</v>
      </c>
      <c r="AB55" s="601">
        <f t="shared" si="3"/>
        <v>2841414.9144846248</v>
      </c>
      <c r="AC55" s="601">
        <f t="shared" si="3"/>
        <v>5148151.5485129068</v>
      </c>
      <c r="AD55" s="601">
        <f t="shared" si="3"/>
        <v>6515607.5510216588</v>
      </c>
      <c r="AE55" s="601">
        <f t="shared" si="3"/>
        <v>5573443.0260272054</v>
      </c>
      <c r="AF55" s="601">
        <f t="shared" si="3"/>
        <v>3920419.9471583064</v>
      </c>
      <c r="AG55" s="601">
        <f t="shared" si="3"/>
        <v>1874086.1613025875</v>
      </c>
      <c r="AH55" s="601">
        <f t="shared" si="3"/>
        <v>1132717.0511313013</v>
      </c>
      <c r="AI55" s="601">
        <f t="shared" si="3"/>
        <v>763870.38715983112</v>
      </c>
    </row>
    <row r="56" spans="1:208" x14ac:dyDescent="0.25">
      <c r="F56" s="435">
        <v>0.32</v>
      </c>
      <c r="G56" s="435">
        <v>0.33</v>
      </c>
      <c r="H56" s="435">
        <v>0.41</v>
      </c>
      <c r="I56" s="435">
        <v>0.63</v>
      </c>
      <c r="J56" s="435">
        <v>0.69</v>
      </c>
      <c r="K56" s="435">
        <v>0.75</v>
      </c>
      <c r="L56" s="435">
        <v>0.76</v>
      </c>
      <c r="M56" s="435">
        <v>0.75</v>
      </c>
      <c r="N56" s="435">
        <v>0.76</v>
      </c>
      <c r="O56" s="435">
        <v>0.73</v>
      </c>
      <c r="P56" s="435">
        <v>0.55000000000000004</v>
      </c>
      <c r="Q56" s="435">
        <v>0.4</v>
      </c>
      <c r="X56" s="601">
        <f>SUM(X55:AI55)</f>
        <v>31271467.224778861</v>
      </c>
    </row>
    <row r="57" spans="1:208" x14ac:dyDescent="0.25">
      <c r="F57" s="435">
        <v>0.64</v>
      </c>
      <c r="G57" s="435">
        <v>0.63</v>
      </c>
      <c r="H57" s="435">
        <v>0.72</v>
      </c>
      <c r="I57" s="435">
        <v>0.86</v>
      </c>
      <c r="J57" s="435">
        <v>0.88</v>
      </c>
      <c r="K57" s="435">
        <v>0.91</v>
      </c>
      <c r="L57" s="435">
        <v>0.93</v>
      </c>
      <c r="M57" s="435">
        <v>0.93</v>
      </c>
      <c r="N57" s="435">
        <v>0.93</v>
      </c>
      <c r="O57" s="435">
        <v>0.9</v>
      </c>
      <c r="P57" s="435">
        <v>0.79</v>
      </c>
      <c r="Q57" s="435">
        <v>0.73</v>
      </c>
    </row>
    <row r="58" spans="1:208" x14ac:dyDescent="0.25">
      <c r="F58" s="435">
        <v>0</v>
      </c>
      <c r="G58" s="435">
        <v>0</v>
      </c>
      <c r="H58" s="435">
        <v>0</v>
      </c>
      <c r="I58" s="435">
        <v>0</v>
      </c>
      <c r="J58" s="435">
        <v>0</v>
      </c>
      <c r="K58" s="435">
        <v>0</v>
      </c>
      <c r="L58" s="435">
        <v>0</v>
      </c>
      <c r="M58" s="435">
        <v>0</v>
      </c>
      <c r="N58" s="435">
        <v>0</v>
      </c>
      <c r="O58" s="435">
        <v>0</v>
      </c>
      <c r="P58" s="435">
        <v>0</v>
      </c>
      <c r="Q58" s="435">
        <v>0</v>
      </c>
      <c r="X58" s="601">
        <f>X52+X55</f>
        <v>1460734.0751009649</v>
      </c>
      <c r="Y58" s="601">
        <f t="shared" ref="Y58:AI58" si="4">Y52+Y55</f>
        <v>1521345.2675550922</v>
      </c>
      <c r="Z58" s="601">
        <f t="shared" si="4"/>
        <v>1608014.5293030743</v>
      </c>
      <c r="AA58" s="601">
        <f t="shared" si="4"/>
        <v>2583796.9950340078</v>
      </c>
      <c r="AB58" s="601">
        <f t="shared" si="4"/>
        <v>4386579.5670581423</v>
      </c>
      <c r="AC58" s="601">
        <f t="shared" si="4"/>
        <v>6728814.8365725735</v>
      </c>
      <c r="AD58" s="601">
        <f t="shared" si="4"/>
        <v>8097443.0575118065</v>
      </c>
      <c r="AE58" s="601">
        <f t="shared" si="4"/>
        <v>6938838.3827076834</v>
      </c>
      <c r="AF58" s="601">
        <f t="shared" si="4"/>
        <v>5021911.6099013258</v>
      </c>
      <c r="AG58" s="601">
        <f t="shared" si="4"/>
        <v>2710261.2947777826</v>
      </c>
      <c r="AH58" s="601">
        <f t="shared" si="4"/>
        <v>1895546.3563737206</v>
      </c>
      <c r="AI58" s="601">
        <f t="shared" si="4"/>
        <v>1502259.7746705504</v>
      </c>
    </row>
    <row r="59" spans="1:208" x14ac:dyDescent="0.25">
      <c r="F59" s="435">
        <v>0</v>
      </c>
      <c r="G59" s="435">
        <v>0</v>
      </c>
      <c r="H59" s="435">
        <v>0</v>
      </c>
      <c r="I59" s="435">
        <v>0</v>
      </c>
      <c r="J59" s="435">
        <v>0</v>
      </c>
      <c r="K59" s="435">
        <v>0</v>
      </c>
      <c r="L59" s="435">
        <v>0</v>
      </c>
      <c r="M59" s="435">
        <v>0</v>
      </c>
      <c r="N59" s="435">
        <v>0</v>
      </c>
      <c r="O59" s="435">
        <v>0</v>
      </c>
      <c r="P59" s="435">
        <v>0</v>
      </c>
      <c r="Q59" s="435">
        <v>0</v>
      </c>
      <c r="X59" s="601">
        <f>X42</f>
        <v>1460734.0751009649</v>
      </c>
      <c r="Y59" s="601">
        <f t="shared" ref="Y59:AI59" si="5">Y42</f>
        <v>1521345.2675550922</v>
      </c>
      <c r="Z59" s="601">
        <f t="shared" si="5"/>
        <v>1608014.5293030741</v>
      </c>
      <c r="AA59" s="601">
        <f t="shared" si="5"/>
        <v>2583796.9950340078</v>
      </c>
      <c r="AB59" s="601">
        <f t="shared" si="5"/>
        <v>4386579.5670581423</v>
      </c>
      <c r="AC59" s="601">
        <f t="shared" si="5"/>
        <v>6728814.8365725735</v>
      </c>
      <c r="AD59" s="601">
        <f t="shared" si="5"/>
        <v>8097443.0575118065</v>
      </c>
      <c r="AE59" s="601">
        <f t="shared" si="5"/>
        <v>6938838.3827076834</v>
      </c>
      <c r="AF59" s="601">
        <f t="shared" si="5"/>
        <v>5021911.6099013258</v>
      </c>
      <c r="AG59" s="601">
        <f t="shared" si="5"/>
        <v>2710261.2947777826</v>
      </c>
      <c r="AH59" s="601">
        <f t="shared" si="5"/>
        <v>1895546.3563737208</v>
      </c>
      <c r="AI59" s="601">
        <f t="shared" si="5"/>
        <v>1502259.7746705506</v>
      </c>
    </row>
    <row r="60" spans="1:208" x14ac:dyDescent="0.25">
      <c r="F60" s="435">
        <v>0</v>
      </c>
      <c r="G60" s="435">
        <v>0</v>
      </c>
      <c r="H60" s="435">
        <v>0</v>
      </c>
      <c r="I60" s="435">
        <v>0</v>
      </c>
      <c r="J60" s="435">
        <v>0</v>
      </c>
      <c r="K60" s="435">
        <v>0</v>
      </c>
      <c r="L60" s="435">
        <v>0</v>
      </c>
      <c r="M60" s="435">
        <v>0</v>
      </c>
      <c r="N60" s="435">
        <v>0</v>
      </c>
      <c r="O60" s="435">
        <v>0</v>
      </c>
      <c r="P60" s="435">
        <v>0</v>
      </c>
      <c r="Q60" s="435">
        <v>0</v>
      </c>
      <c r="X60" s="601">
        <f>X58-X59</f>
        <v>0</v>
      </c>
      <c r="Y60" s="601">
        <f t="shared" ref="Y60:AI60" si="6">Y58-Y59</f>
        <v>0</v>
      </c>
      <c r="Z60" s="601">
        <f t="shared" si="6"/>
        <v>0</v>
      </c>
      <c r="AA60" s="601">
        <f t="shared" si="6"/>
        <v>0</v>
      </c>
      <c r="AB60" s="601">
        <f t="shared" si="6"/>
        <v>0</v>
      </c>
      <c r="AC60" s="601">
        <f t="shared" si="6"/>
        <v>0</v>
      </c>
      <c r="AD60" s="601">
        <f t="shared" si="6"/>
        <v>0</v>
      </c>
      <c r="AE60" s="601">
        <f t="shared" si="6"/>
        <v>0</v>
      </c>
      <c r="AF60" s="601">
        <f t="shared" si="6"/>
        <v>0</v>
      </c>
      <c r="AG60" s="601">
        <f t="shared" si="6"/>
        <v>0</v>
      </c>
      <c r="AH60" s="601">
        <f t="shared" si="6"/>
        <v>0</v>
      </c>
      <c r="AI60" s="601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V546"/>
  <sheetViews>
    <sheetView topLeftCell="A225" workbookViewId="0">
      <selection activeCell="D244" sqref="D244"/>
    </sheetView>
  </sheetViews>
  <sheetFormatPr defaultRowHeight="15" x14ac:dyDescent="0.25"/>
  <cols>
    <col min="1" max="2" width="11.5703125" customWidth="1"/>
    <col min="3" max="3" width="13" customWidth="1"/>
    <col min="4" max="4" width="56.28515625" bestFit="1" customWidth="1"/>
    <col min="7" max="10" width="9.85546875" bestFit="1" customWidth="1"/>
    <col min="11" max="11" width="8.28515625" bestFit="1" customWidth="1"/>
    <col min="12" max="12" width="8.85546875" bestFit="1" customWidth="1"/>
    <col min="13" max="13" width="8.7109375" bestFit="1" customWidth="1"/>
    <col min="14" max="20" width="9.85546875" bestFit="1" customWidth="1"/>
    <col min="22" max="22" width="8.42578125" bestFit="1" customWidth="1"/>
  </cols>
  <sheetData>
    <row r="1" spans="1:22" x14ac:dyDescent="0.25">
      <c r="D1" s="603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</row>
    <row r="2" spans="1:22" x14ac:dyDescent="0.25">
      <c r="D2" s="603" t="s">
        <v>709</v>
      </c>
      <c r="E2" s="410" t="s">
        <v>515</v>
      </c>
      <c r="F2" s="410" t="s">
        <v>516</v>
      </c>
      <c r="G2" s="410" t="s">
        <v>517</v>
      </c>
      <c r="H2" s="410" t="s">
        <v>518</v>
      </c>
      <c r="I2" s="410" t="s">
        <v>519</v>
      </c>
      <c r="J2" s="410" t="s">
        <v>520</v>
      </c>
      <c r="K2" s="410" t="s">
        <v>521</v>
      </c>
      <c r="L2" s="410" t="s">
        <v>522</v>
      </c>
      <c r="M2" s="410" t="s">
        <v>523</v>
      </c>
      <c r="N2" s="410" t="s">
        <v>524</v>
      </c>
      <c r="O2" s="410" t="s">
        <v>525</v>
      </c>
      <c r="P2" s="410" t="s">
        <v>526</v>
      </c>
      <c r="Q2" s="410" t="s">
        <v>527</v>
      </c>
      <c r="R2" s="410" t="s">
        <v>528</v>
      </c>
      <c r="S2" s="410" t="s">
        <v>529</v>
      </c>
      <c r="T2" s="410" t="s">
        <v>530</v>
      </c>
      <c r="U2" s="410" t="s">
        <v>531</v>
      </c>
      <c r="V2" s="410" t="s">
        <v>532</v>
      </c>
    </row>
    <row r="3" spans="1:22" s="84" customFormat="1" x14ac:dyDescent="0.25">
      <c r="A3" s="642" t="s">
        <v>102</v>
      </c>
      <c r="B3" s="642" t="s">
        <v>5</v>
      </c>
      <c r="C3" s="642"/>
      <c r="D3" s="643" t="s">
        <v>644</v>
      </c>
    </row>
    <row r="4" spans="1:22" x14ac:dyDescent="0.25">
      <c r="A4" s="411" t="s">
        <v>102</v>
      </c>
      <c r="B4" s="411" t="s">
        <v>5</v>
      </c>
      <c r="C4" s="411"/>
      <c r="D4" s="412" t="s">
        <v>645</v>
      </c>
    </row>
    <row r="5" spans="1:22" x14ac:dyDescent="0.25">
      <c r="A5" s="411" t="s">
        <v>102</v>
      </c>
      <c r="B5" s="411" t="s">
        <v>5</v>
      </c>
      <c r="C5" s="411"/>
      <c r="D5" s="413" t="s">
        <v>646</v>
      </c>
      <c r="E5" s="411">
        <v>1</v>
      </c>
      <c r="F5" s="411">
        <v>1</v>
      </c>
      <c r="G5" s="411">
        <v>1</v>
      </c>
      <c r="H5" s="411">
        <v>1</v>
      </c>
      <c r="I5" s="411">
        <v>1</v>
      </c>
      <c r="J5" s="411">
        <v>1</v>
      </c>
      <c r="K5" s="411">
        <v>1</v>
      </c>
      <c r="L5" s="411">
        <v>1</v>
      </c>
      <c r="M5" s="411">
        <v>1</v>
      </c>
      <c r="N5" s="411">
        <v>1</v>
      </c>
      <c r="O5" s="411">
        <v>1</v>
      </c>
      <c r="P5" s="411">
        <v>1</v>
      </c>
      <c r="Q5" s="411">
        <v>1</v>
      </c>
      <c r="R5" s="411">
        <v>1</v>
      </c>
      <c r="S5" s="411">
        <v>1</v>
      </c>
      <c r="T5" s="411">
        <v>1</v>
      </c>
      <c r="U5" s="411">
        <v>1</v>
      </c>
      <c r="V5" s="411">
        <v>1</v>
      </c>
    </row>
    <row r="6" spans="1:22" x14ac:dyDescent="0.25">
      <c r="A6" s="411" t="s">
        <v>102</v>
      </c>
      <c r="B6" s="411" t="s">
        <v>5</v>
      </c>
      <c r="C6" s="411"/>
      <c r="D6" s="413" t="s">
        <v>647</v>
      </c>
      <c r="E6" s="411">
        <v>0</v>
      </c>
      <c r="F6" s="411">
        <v>0</v>
      </c>
      <c r="G6" s="411">
        <v>0</v>
      </c>
      <c r="H6" s="411">
        <v>0</v>
      </c>
      <c r="I6" s="411">
        <v>0</v>
      </c>
      <c r="J6" s="411">
        <v>0</v>
      </c>
      <c r="K6" s="411">
        <v>0</v>
      </c>
      <c r="L6" s="411">
        <v>0</v>
      </c>
      <c r="M6" s="411">
        <v>0</v>
      </c>
      <c r="N6" s="411">
        <v>0</v>
      </c>
      <c r="O6" s="411">
        <v>0</v>
      </c>
      <c r="P6" s="411">
        <v>0</v>
      </c>
      <c r="Q6" s="411">
        <v>0</v>
      </c>
      <c r="R6" s="411">
        <v>0</v>
      </c>
      <c r="S6" s="411">
        <v>0</v>
      </c>
      <c r="T6" s="411">
        <v>0</v>
      </c>
      <c r="U6" s="411">
        <v>0</v>
      </c>
      <c r="V6" s="411">
        <v>0</v>
      </c>
    </row>
    <row r="7" spans="1:22" x14ac:dyDescent="0.25">
      <c r="A7" s="411" t="s">
        <v>102</v>
      </c>
      <c r="B7" s="411" t="s">
        <v>5</v>
      </c>
      <c r="C7" s="411"/>
      <c r="D7" s="413" t="s">
        <v>648</v>
      </c>
      <c r="E7" s="411">
        <v>1</v>
      </c>
      <c r="F7" s="411">
        <v>1</v>
      </c>
      <c r="G7" s="411">
        <v>1</v>
      </c>
      <c r="H7" s="411">
        <v>1</v>
      </c>
      <c r="I7" s="411">
        <v>1</v>
      </c>
      <c r="J7" s="411">
        <v>1</v>
      </c>
      <c r="K7" s="411">
        <v>1</v>
      </c>
      <c r="L7" s="411">
        <v>1</v>
      </c>
      <c r="M7" s="411">
        <v>1</v>
      </c>
      <c r="N7" s="411">
        <v>1</v>
      </c>
      <c r="O7" s="411">
        <v>1</v>
      </c>
      <c r="P7" s="411">
        <v>1</v>
      </c>
      <c r="Q7" s="411">
        <v>1</v>
      </c>
      <c r="R7" s="411">
        <v>1</v>
      </c>
      <c r="S7" s="411">
        <v>1</v>
      </c>
      <c r="T7" s="411">
        <v>1</v>
      </c>
      <c r="U7" s="411">
        <v>1</v>
      </c>
      <c r="V7" s="411">
        <v>1</v>
      </c>
    </row>
    <row r="8" spans="1:22" x14ac:dyDescent="0.25">
      <c r="A8" s="411" t="s">
        <v>102</v>
      </c>
      <c r="B8" s="411" t="s">
        <v>5</v>
      </c>
      <c r="C8" s="411"/>
      <c r="D8" s="413" t="s">
        <v>649</v>
      </c>
      <c r="E8" s="411">
        <v>400</v>
      </c>
      <c r="F8" s="411">
        <v>400</v>
      </c>
      <c r="G8" s="411">
        <v>400</v>
      </c>
      <c r="H8" s="411">
        <v>400</v>
      </c>
      <c r="I8" s="411">
        <v>400</v>
      </c>
      <c r="J8" s="411">
        <v>400</v>
      </c>
      <c r="K8" s="411">
        <v>400</v>
      </c>
      <c r="L8" s="411">
        <v>400</v>
      </c>
      <c r="M8" s="411">
        <v>400</v>
      </c>
      <c r="N8" s="411">
        <v>400</v>
      </c>
      <c r="O8" s="411">
        <v>400</v>
      </c>
      <c r="P8" s="411">
        <v>400</v>
      </c>
      <c r="Q8" s="411">
        <v>400</v>
      </c>
      <c r="R8" s="411">
        <v>400</v>
      </c>
      <c r="S8" s="411">
        <v>400</v>
      </c>
      <c r="T8" s="411">
        <v>400</v>
      </c>
      <c r="U8" s="411">
        <v>400</v>
      </c>
      <c r="V8" s="411">
        <v>400</v>
      </c>
    </row>
    <row r="9" spans="1:22" x14ac:dyDescent="0.25">
      <c r="A9" s="411" t="s">
        <v>102</v>
      </c>
      <c r="B9" s="411" t="s">
        <v>5</v>
      </c>
      <c r="C9" s="411"/>
      <c r="D9" s="413" t="s">
        <v>650</v>
      </c>
      <c r="E9" s="411">
        <v>0</v>
      </c>
      <c r="F9" s="411">
        <v>0</v>
      </c>
      <c r="G9" s="411">
        <v>0</v>
      </c>
      <c r="H9" s="411">
        <v>0</v>
      </c>
      <c r="I9" s="411">
        <v>0</v>
      </c>
      <c r="J9" s="411">
        <v>0</v>
      </c>
      <c r="K9" s="411">
        <v>0</v>
      </c>
      <c r="L9" s="411">
        <v>0</v>
      </c>
      <c r="M9" s="411">
        <v>0</v>
      </c>
      <c r="N9" s="411">
        <v>0</v>
      </c>
      <c r="O9" s="411">
        <v>0</v>
      </c>
      <c r="P9" s="411">
        <v>0</v>
      </c>
      <c r="Q9" s="411">
        <v>0</v>
      </c>
      <c r="R9" s="411">
        <v>0</v>
      </c>
      <c r="S9" s="411">
        <v>0</v>
      </c>
      <c r="T9" s="411">
        <v>0</v>
      </c>
      <c r="U9" s="411">
        <v>0</v>
      </c>
      <c r="V9" s="411">
        <v>0</v>
      </c>
    </row>
    <row r="10" spans="1:22" x14ac:dyDescent="0.25">
      <c r="A10" s="411" t="s">
        <v>102</v>
      </c>
      <c r="B10" s="411" t="s">
        <v>5</v>
      </c>
      <c r="C10" s="411" t="s">
        <v>154</v>
      </c>
      <c r="D10" s="412" t="s">
        <v>651</v>
      </c>
      <c r="E10" s="411">
        <v>0.4</v>
      </c>
      <c r="F10" s="411">
        <v>0.4</v>
      </c>
      <c r="G10" s="411">
        <v>0.4</v>
      </c>
      <c r="H10" s="411">
        <v>0.4</v>
      </c>
      <c r="I10" s="411">
        <v>0.4</v>
      </c>
      <c r="J10" s="411">
        <v>0.4</v>
      </c>
      <c r="K10" s="411">
        <v>0.4</v>
      </c>
      <c r="L10" s="411">
        <v>0.4</v>
      </c>
      <c r="M10" s="411">
        <v>0.4</v>
      </c>
      <c r="N10" s="411">
        <v>0.4</v>
      </c>
      <c r="O10" s="411">
        <v>0.4</v>
      </c>
      <c r="P10" s="411">
        <v>0.4</v>
      </c>
      <c r="Q10" s="411">
        <v>0.4</v>
      </c>
      <c r="R10" s="411">
        <v>0.4</v>
      </c>
      <c r="S10" s="411">
        <v>0.4</v>
      </c>
      <c r="T10" s="411">
        <v>0.4</v>
      </c>
      <c r="U10" s="411">
        <v>0.4</v>
      </c>
      <c r="V10" s="411">
        <v>0.4</v>
      </c>
    </row>
    <row r="11" spans="1:22" x14ac:dyDescent="0.25">
      <c r="A11" s="411" t="s">
        <v>102</v>
      </c>
      <c r="B11" s="411" t="s">
        <v>5</v>
      </c>
      <c r="C11" s="411"/>
      <c r="D11" s="412" t="s">
        <v>652</v>
      </c>
    </row>
    <row r="12" spans="1:22" x14ac:dyDescent="0.25">
      <c r="A12" s="411" t="s">
        <v>102</v>
      </c>
      <c r="B12" s="411" t="s">
        <v>5</v>
      </c>
      <c r="C12" s="411"/>
      <c r="D12" s="413" t="s">
        <v>653</v>
      </c>
      <c r="E12" s="411">
        <v>1724.4753430000001</v>
      </c>
      <c r="F12" s="411">
        <v>2391.5437160000001</v>
      </c>
      <c r="G12" s="411">
        <v>3018.7754639999998</v>
      </c>
      <c r="H12" s="411">
        <v>4576.059816</v>
      </c>
      <c r="I12" s="411">
        <v>5216.1352500000003</v>
      </c>
      <c r="J12" s="411">
        <v>4352.4129730000004</v>
      </c>
      <c r="K12" s="411">
        <v>1461.6391169999999</v>
      </c>
      <c r="L12" s="411">
        <v>1639.313028</v>
      </c>
      <c r="M12" s="411">
        <v>1763.325908</v>
      </c>
      <c r="N12" s="411">
        <v>2421.0027650000002</v>
      </c>
      <c r="O12" s="411">
        <v>2827.3024380000002</v>
      </c>
      <c r="P12" s="411">
        <v>4240.838033</v>
      </c>
      <c r="Q12" s="411">
        <v>5276.9122719999996</v>
      </c>
      <c r="R12" s="411">
        <v>4391.7297310000004</v>
      </c>
      <c r="S12" s="411">
        <v>2925.1883149999999</v>
      </c>
      <c r="T12" s="411">
        <v>2195.1968230000002</v>
      </c>
      <c r="U12" s="411">
        <v>1576.437604</v>
      </c>
      <c r="V12" s="411">
        <v>1542.563877</v>
      </c>
    </row>
    <row r="13" spans="1:22" x14ac:dyDescent="0.25">
      <c r="A13" s="411" t="s">
        <v>102</v>
      </c>
      <c r="B13" s="411" t="s">
        <v>5</v>
      </c>
      <c r="C13" s="411"/>
      <c r="D13" s="413" t="s">
        <v>654</v>
      </c>
      <c r="E13" s="411">
        <v>0</v>
      </c>
      <c r="F13" s="411">
        <v>0</v>
      </c>
      <c r="G13" s="411">
        <v>0</v>
      </c>
      <c r="H13" s="411">
        <v>0</v>
      </c>
      <c r="I13" s="411">
        <v>0</v>
      </c>
      <c r="J13" s="411">
        <v>0</v>
      </c>
      <c r="K13" s="411">
        <v>0</v>
      </c>
      <c r="L13" s="411">
        <v>0</v>
      </c>
      <c r="M13" s="411">
        <v>0</v>
      </c>
      <c r="N13" s="411">
        <v>0</v>
      </c>
      <c r="O13" s="411">
        <v>0</v>
      </c>
      <c r="P13" s="411">
        <v>0</v>
      </c>
      <c r="Q13" s="411">
        <v>0</v>
      </c>
      <c r="R13" s="411">
        <v>0</v>
      </c>
      <c r="S13" s="411">
        <v>0</v>
      </c>
      <c r="T13" s="411">
        <v>0</v>
      </c>
      <c r="U13" s="411">
        <v>0</v>
      </c>
      <c r="V13" s="411">
        <v>0</v>
      </c>
    </row>
    <row r="14" spans="1:22" x14ac:dyDescent="0.25">
      <c r="A14" s="411" t="s">
        <v>102</v>
      </c>
      <c r="B14" s="411" t="s">
        <v>5</v>
      </c>
      <c r="C14" s="415"/>
      <c r="D14" s="414" t="s">
        <v>655</v>
      </c>
      <c r="E14" s="415">
        <v>1.7244753429999999</v>
      </c>
      <c r="F14" s="415">
        <v>2.3915437160000002</v>
      </c>
      <c r="G14" s="415">
        <v>3.018775464</v>
      </c>
      <c r="H14" s="415">
        <v>4.5760598159999999</v>
      </c>
      <c r="I14" s="415">
        <v>5.2161352499999998</v>
      </c>
      <c r="J14" s="415">
        <v>4.3524129729999999</v>
      </c>
      <c r="K14" s="415">
        <v>1.461639117</v>
      </c>
      <c r="L14" s="415">
        <v>1.6393130279999999</v>
      </c>
      <c r="M14" s="415">
        <v>1.7633259080000001</v>
      </c>
      <c r="N14" s="415">
        <v>2.4210027649999999</v>
      </c>
      <c r="O14" s="415">
        <v>2.8273024379999998</v>
      </c>
      <c r="P14" s="415">
        <v>4.2408380330000002</v>
      </c>
      <c r="Q14" s="415">
        <v>5.2769122719999997</v>
      </c>
      <c r="R14" s="415">
        <v>4.3917297309999999</v>
      </c>
      <c r="S14" s="415">
        <v>2.92518831499999</v>
      </c>
      <c r="T14" s="415">
        <v>2.1951968229999999</v>
      </c>
      <c r="U14" s="415">
        <v>1.5764376040000001</v>
      </c>
      <c r="V14" s="415">
        <v>1.5425638770000001</v>
      </c>
    </row>
    <row r="15" spans="1:22" x14ac:dyDescent="0.25">
      <c r="A15" s="411" t="s">
        <v>102</v>
      </c>
      <c r="B15" s="411" t="s">
        <v>5</v>
      </c>
      <c r="C15" s="415"/>
      <c r="D15" s="414" t="s">
        <v>656</v>
      </c>
      <c r="E15" s="415">
        <v>0.70089999999999997</v>
      </c>
      <c r="F15" s="415">
        <v>0.70089999999999997</v>
      </c>
      <c r="G15" s="415">
        <v>0.70089999999999997</v>
      </c>
      <c r="H15" s="415">
        <v>0.70089999999999997</v>
      </c>
      <c r="I15" s="415">
        <v>0.70089999999999997</v>
      </c>
      <c r="J15" s="415">
        <v>0.70089999999999997</v>
      </c>
      <c r="K15" s="415">
        <v>0.70089999999999997</v>
      </c>
      <c r="L15" s="415">
        <v>0.70089999999999997</v>
      </c>
      <c r="M15" s="415">
        <v>0.70089999999999997</v>
      </c>
      <c r="N15" s="415">
        <v>0.70089999999999997</v>
      </c>
      <c r="O15" s="415">
        <v>0.70089999999999997</v>
      </c>
      <c r="P15" s="415">
        <v>0.70089999999999997</v>
      </c>
      <c r="Q15" s="415">
        <v>0.70089999999999997</v>
      </c>
      <c r="R15" s="415">
        <v>0.70089999999999997</v>
      </c>
      <c r="S15" s="415">
        <v>0.70089999999999997</v>
      </c>
      <c r="T15" s="415">
        <v>0.70089999999999997</v>
      </c>
      <c r="U15" s="415">
        <v>0.70089999999999997</v>
      </c>
      <c r="V15" s="415">
        <v>0.70089999999999997</v>
      </c>
    </row>
    <row r="16" spans="1:22" x14ac:dyDescent="0.25">
      <c r="A16" s="411" t="s">
        <v>102</v>
      </c>
      <c r="B16" s="411" t="s">
        <v>5</v>
      </c>
      <c r="C16" s="415"/>
      <c r="D16" s="414" t="s">
        <v>657</v>
      </c>
      <c r="E16" s="415">
        <v>0.70089999999999997</v>
      </c>
      <c r="F16" s="415">
        <v>0.70089999999999997</v>
      </c>
      <c r="G16" s="415">
        <v>0.70089999999999997</v>
      </c>
      <c r="H16" s="415">
        <v>0.70089999999999997</v>
      </c>
      <c r="I16" s="415">
        <v>0.70089999999999997</v>
      </c>
      <c r="J16" s="415">
        <v>0.70089999999999997</v>
      </c>
      <c r="K16" s="415">
        <v>0.70089999999999997</v>
      </c>
      <c r="L16" s="415">
        <v>0.70089999999999997</v>
      </c>
      <c r="M16" s="415">
        <v>0.70089999999999997</v>
      </c>
      <c r="N16" s="415">
        <v>0.70089999999999997</v>
      </c>
      <c r="O16" s="415">
        <v>0.70089999999999997</v>
      </c>
      <c r="P16" s="415">
        <v>0.70089999999999997</v>
      </c>
      <c r="Q16" s="415">
        <v>0.70089999999999997</v>
      </c>
      <c r="R16" s="415">
        <v>0.70089999999999997</v>
      </c>
      <c r="S16" s="415">
        <v>0.70089999999999997</v>
      </c>
      <c r="T16" s="415">
        <v>0.70089999999999997</v>
      </c>
      <c r="U16" s="415">
        <v>0.70089999999999997</v>
      </c>
      <c r="V16" s="415">
        <v>0.70089999999999997</v>
      </c>
    </row>
    <row r="17" spans="1:22" x14ac:dyDescent="0.25">
      <c r="A17" s="411" t="s">
        <v>102</v>
      </c>
      <c r="B17" s="411" t="s">
        <v>5</v>
      </c>
      <c r="C17" s="415"/>
      <c r="D17" s="414" t="s">
        <v>658</v>
      </c>
      <c r="E17" s="415">
        <v>0</v>
      </c>
      <c r="F17" s="415">
        <v>0</v>
      </c>
      <c r="G17" s="415">
        <v>0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15">
        <v>0</v>
      </c>
      <c r="O17" s="415">
        <v>0</v>
      </c>
      <c r="P17" s="415">
        <v>0</v>
      </c>
      <c r="Q17" s="415">
        <v>0</v>
      </c>
      <c r="R17" s="415">
        <v>0</v>
      </c>
      <c r="S17" s="415">
        <v>0</v>
      </c>
      <c r="T17" s="415">
        <v>0</v>
      </c>
      <c r="U17" s="415">
        <v>0</v>
      </c>
      <c r="V17" s="415">
        <v>0</v>
      </c>
    </row>
    <row r="18" spans="1:22" x14ac:dyDescent="0.25">
      <c r="A18" s="411" t="s">
        <v>102</v>
      </c>
      <c r="B18" s="411" t="s">
        <v>5</v>
      </c>
      <c r="C18" s="411" t="s">
        <v>436</v>
      </c>
      <c r="D18" s="412" t="s">
        <v>659</v>
      </c>
      <c r="E18" s="411">
        <v>1.2086847679087001</v>
      </c>
      <c r="F18" s="411">
        <v>1.6762329905444</v>
      </c>
      <c r="G18" s="411">
        <v>2.1158597227175902</v>
      </c>
      <c r="H18" s="411">
        <v>3.2073603250343998</v>
      </c>
      <c r="I18" s="411">
        <v>3.6559891967249998</v>
      </c>
      <c r="J18" s="411">
        <v>3.0506062527757001</v>
      </c>
      <c r="K18" s="411">
        <v>1.0244628571052901</v>
      </c>
      <c r="L18" s="411">
        <v>1.1489945013252001</v>
      </c>
      <c r="M18" s="411">
        <v>1.2359151289171999</v>
      </c>
      <c r="N18" s="411">
        <v>1.6968808379885001</v>
      </c>
      <c r="O18" s="411">
        <v>1.9816562787942</v>
      </c>
      <c r="P18" s="411">
        <v>2.9724033773296998</v>
      </c>
      <c r="Q18" s="411">
        <v>3.6985878114447899</v>
      </c>
      <c r="R18" s="411">
        <v>3.0781633684579002</v>
      </c>
      <c r="S18" s="411">
        <v>2.0502644899834999</v>
      </c>
      <c r="T18" s="411">
        <v>1.5386134532407001</v>
      </c>
      <c r="U18" s="411">
        <v>1.1049251166436</v>
      </c>
      <c r="V18" s="411">
        <v>1.0811830213892999</v>
      </c>
    </row>
    <row r="19" spans="1:22" x14ac:dyDescent="0.25">
      <c r="A19" s="411" t="s">
        <v>102</v>
      </c>
      <c r="B19" s="411" t="s">
        <v>5</v>
      </c>
      <c r="C19" s="411"/>
      <c r="D19" s="412" t="s">
        <v>660</v>
      </c>
    </row>
    <row r="20" spans="1:22" x14ac:dyDescent="0.25">
      <c r="A20" s="411" t="s">
        <v>102</v>
      </c>
      <c r="B20" s="411" t="s">
        <v>5</v>
      </c>
      <c r="C20" s="411"/>
      <c r="D20" s="412" t="s">
        <v>661</v>
      </c>
    </row>
    <row r="21" spans="1:22" x14ac:dyDescent="0.25">
      <c r="A21" s="411" t="s">
        <v>102</v>
      </c>
      <c r="B21" s="411" t="s">
        <v>5</v>
      </c>
      <c r="C21" s="411"/>
      <c r="D21" s="412" t="s">
        <v>662</v>
      </c>
      <c r="E21" s="411">
        <v>1.6086847679087</v>
      </c>
      <c r="F21" s="411">
        <v>2.0762329905443999</v>
      </c>
      <c r="G21" s="411">
        <v>2.5158597227175901</v>
      </c>
      <c r="H21" s="411">
        <v>3.60736032503439</v>
      </c>
      <c r="I21" s="411">
        <v>4.0559891967250001</v>
      </c>
      <c r="J21" s="411">
        <v>3.4506062527757</v>
      </c>
      <c r="K21" s="411">
        <v>1.42446285710529</v>
      </c>
      <c r="L21" s="411">
        <v>1.5489945013252</v>
      </c>
      <c r="M21" s="411">
        <v>1.6359151289172</v>
      </c>
      <c r="N21" s="411">
        <v>2.0968808379885</v>
      </c>
      <c r="O21" s="411">
        <v>2.3816562787942002</v>
      </c>
      <c r="P21" s="411">
        <v>3.37240337732969</v>
      </c>
      <c r="Q21" s="411">
        <v>4.0985878114447898</v>
      </c>
      <c r="R21" s="411">
        <v>3.4781633684579001</v>
      </c>
      <c r="S21" s="411">
        <v>2.45026448998349</v>
      </c>
      <c r="T21" s="411">
        <v>1.9386134532407</v>
      </c>
      <c r="U21" s="411">
        <v>1.5049251166436</v>
      </c>
      <c r="V21" s="411">
        <v>1.48118302138929</v>
      </c>
    </row>
    <row r="22" spans="1:22" x14ac:dyDescent="0.25">
      <c r="A22" s="411" t="s">
        <v>102</v>
      </c>
      <c r="B22" s="411" t="s">
        <v>5</v>
      </c>
      <c r="C22" s="411"/>
      <c r="D22" s="412" t="s">
        <v>663</v>
      </c>
    </row>
    <row r="23" spans="1:22" x14ac:dyDescent="0.25">
      <c r="A23" s="411" t="s">
        <v>102</v>
      </c>
      <c r="B23" s="411" t="s">
        <v>5</v>
      </c>
      <c r="C23" s="415"/>
      <c r="D23" s="414" t="s">
        <v>664</v>
      </c>
      <c r="E23" s="415">
        <v>3.54132328535503</v>
      </c>
      <c r="F23" s="415">
        <v>4.0825536529198896</v>
      </c>
      <c r="G23" s="415">
        <v>4.6151370530302804</v>
      </c>
      <c r="H23" s="415">
        <v>4.7204926546137003</v>
      </c>
      <c r="I23" s="415">
        <v>4.2816079006073897</v>
      </c>
      <c r="J23" s="415">
        <v>4.61774840312499</v>
      </c>
      <c r="K23" s="415">
        <v>3.6370825733754901</v>
      </c>
      <c r="L23" s="415">
        <v>3.1998593487156</v>
      </c>
      <c r="M23" s="415">
        <v>3.4441400635944199</v>
      </c>
      <c r="N23" s="415">
        <v>2.6697967759149801</v>
      </c>
      <c r="O23" s="415">
        <v>3.6621728781104101</v>
      </c>
      <c r="P23" s="415">
        <v>3.9547219031793199</v>
      </c>
      <c r="Q23" s="415">
        <v>4.3060793499123999</v>
      </c>
      <c r="R23" s="415">
        <v>4.66270835833049</v>
      </c>
      <c r="S23" s="415">
        <v>5.2056863414265502</v>
      </c>
      <c r="T23" s="415">
        <v>5.4531502607765896</v>
      </c>
      <c r="U23" s="415">
        <v>5.0764131270513699</v>
      </c>
      <c r="V23" s="415">
        <v>4.0447960531742</v>
      </c>
    </row>
    <row r="24" spans="1:22" x14ac:dyDescent="0.25">
      <c r="A24" s="411" t="s">
        <v>102</v>
      </c>
      <c r="B24" s="411" t="s">
        <v>5</v>
      </c>
      <c r="C24" s="411" t="s">
        <v>178</v>
      </c>
      <c r="D24" s="413" t="s">
        <v>665</v>
      </c>
      <c r="E24" s="411">
        <v>6.1069246871865097</v>
      </c>
      <c r="F24" s="411">
        <v>9.7636055338734096</v>
      </c>
      <c r="G24" s="411">
        <v>13.932062498684999</v>
      </c>
      <c r="H24" s="411">
        <v>21.601256748500901</v>
      </c>
      <c r="I24" s="411">
        <v>22.3334458970367</v>
      </c>
      <c r="J24" s="411">
        <v>20.098348055811201</v>
      </c>
      <c r="K24" s="411">
        <v>5.3161021610046397</v>
      </c>
      <c r="L24" s="411">
        <v>5.2455711181170903</v>
      </c>
      <c r="M24" s="411">
        <v>6.07314140491681</v>
      </c>
      <c r="N24" s="411">
        <v>6.46358537647827</v>
      </c>
      <c r="O24" s="411">
        <v>10.354070306659001</v>
      </c>
      <c r="P24" s="411">
        <v>16.771335056940998</v>
      </c>
      <c r="Q24" s="411">
        <v>22.7228029657585</v>
      </c>
      <c r="R24" s="411">
        <v>20.477354924262201</v>
      </c>
      <c r="S24" s="411">
        <v>15.227612857496</v>
      </c>
      <c r="T24" s="411">
        <v>11.970738127798301</v>
      </c>
      <c r="U24" s="411">
        <v>8.0026485469230106</v>
      </c>
      <c r="V24" s="411">
        <v>6.23935628145869</v>
      </c>
    </row>
    <row r="25" spans="1:22" x14ac:dyDescent="0.25">
      <c r="A25" s="411" t="s">
        <v>102</v>
      </c>
      <c r="B25" s="411" t="s">
        <v>5</v>
      </c>
      <c r="C25" s="411"/>
      <c r="D25" s="412" t="s">
        <v>666</v>
      </c>
    </row>
    <row r="26" spans="1:22" x14ac:dyDescent="0.25">
      <c r="A26" s="411" t="s">
        <v>102</v>
      </c>
      <c r="B26" s="411" t="s">
        <v>5</v>
      </c>
      <c r="C26" s="415"/>
      <c r="D26" s="414" t="s">
        <v>667</v>
      </c>
      <c r="E26" s="415">
        <v>0.34906843462946002</v>
      </c>
      <c r="F26" s="415">
        <v>0.16939007523933</v>
      </c>
      <c r="G26" s="415">
        <v>9.4024398016510996E-2</v>
      </c>
      <c r="H26" s="415">
        <v>7.9005885786712304E-2</v>
      </c>
      <c r="I26" s="415">
        <v>4.2818241030573301E-2</v>
      </c>
      <c r="J26" s="415">
        <v>5.3348528484577801E-2</v>
      </c>
      <c r="K26" s="415">
        <v>0.24690512534735301</v>
      </c>
      <c r="L26" s="415">
        <v>0.286805863570613</v>
      </c>
      <c r="M26" s="415">
        <v>0.2714755224323</v>
      </c>
      <c r="N26" s="415">
        <v>0.23977615362243901</v>
      </c>
      <c r="O26" s="415">
        <v>0.112823983088882</v>
      </c>
      <c r="P26" s="415">
        <v>3.1676324500992899E-2</v>
      </c>
      <c r="Q26" s="415">
        <v>5.1767532114618299E-2</v>
      </c>
      <c r="R26" s="415">
        <v>6.4560825100963504E-2</v>
      </c>
      <c r="S26" s="415">
        <v>0.10990553607190399</v>
      </c>
      <c r="T26" s="415">
        <v>0.18637651503338701</v>
      </c>
      <c r="U26" s="415">
        <v>0.28860955010716799</v>
      </c>
      <c r="V26" s="415">
        <v>0.33287319112658798</v>
      </c>
    </row>
    <row r="27" spans="1:22" x14ac:dyDescent="0.25">
      <c r="A27" s="411" t="s">
        <v>102</v>
      </c>
      <c r="B27" s="411" t="s">
        <v>5</v>
      </c>
      <c r="C27" s="411" t="s">
        <v>180</v>
      </c>
      <c r="D27" s="413" t="s">
        <v>668</v>
      </c>
      <c r="E27" s="411">
        <v>0.60195990853811199</v>
      </c>
      <c r="F27" s="411">
        <v>0.40510376999138697</v>
      </c>
      <c r="G27" s="411">
        <v>0.28383854574961298</v>
      </c>
      <c r="H27" s="411">
        <v>0.36153565917606001</v>
      </c>
      <c r="I27" s="411">
        <v>0.22334573638256999</v>
      </c>
      <c r="J27" s="411">
        <v>0.232194827466736</v>
      </c>
      <c r="K27" s="411">
        <v>0.36088618939548001</v>
      </c>
      <c r="L27" s="411">
        <v>0.47016458865809702</v>
      </c>
      <c r="M27" s="411">
        <v>0.47869982209271</v>
      </c>
      <c r="N27" s="411">
        <v>0.58049873090099202</v>
      </c>
      <c r="O27" s="411">
        <v>0.31898752245206602</v>
      </c>
      <c r="P27" s="411">
        <v>0.13433416168946</v>
      </c>
      <c r="Q27" s="411">
        <v>0.27317272550678301</v>
      </c>
      <c r="R27" s="411">
        <v>0.283533695053792</v>
      </c>
      <c r="S27" s="411">
        <v>0.32149438987134399</v>
      </c>
      <c r="T27" s="411">
        <v>0.409133133683103</v>
      </c>
      <c r="U27" s="411">
        <v>0.45497494766246199</v>
      </c>
      <c r="V27" s="411">
        <v>0.51347816025359205</v>
      </c>
    </row>
    <row r="28" spans="1:22" x14ac:dyDescent="0.25">
      <c r="A28" s="411" t="s">
        <v>102</v>
      </c>
      <c r="B28" s="411" t="s">
        <v>5</v>
      </c>
      <c r="C28" s="411"/>
      <c r="D28" s="412" t="s">
        <v>669</v>
      </c>
    </row>
    <row r="29" spans="1:22" x14ac:dyDescent="0.25">
      <c r="A29" s="411" t="s">
        <v>102</v>
      </c>
      <c r="B29" s="411" t="s">
        <v>5</v>
      </c>
      <c r="C29" s="415"/>
      <c r="D29" s="414" t="s">
        <v>670</v>
      </c>
      <c r="E29" s="415">
        <v>7.2705548342424002E-3</v>
      </c>
      <c r="F29" s="415">
        <v>7.2705548342424002E-3</v>
      </c>
      <c r="G29" s="415">
        <v>7.2705548342424002E-3</v>
      </c>
      <c r="H29" s="415">
        <v>7.2705548342424002E-3</v>
      </c>
      <c r="I29" s="415">
        <v>7.2705548342424002E-3</v>
      </c>
      <c r="J29" s="415">
        <v>7.2705548342424002E-3</v>
      </c>
      <c r="K29" s="415">
        <v>7.2705548342424002E-3</v>
      </c>
      <c r="L29" s="415">
        <v>7.2705548342424002E-3</v>
      </c>
      <c r="M29" s="415">
        <v>7.2705548342424002E-3</v>
      </c>
      <c r="N29" s="415">
        <v>7.2705548342424002E-3</v>
      </c>
      <c r="O29" s="415">
        <v>7.2705548342424002E-3</v>
      </c>
      <c r="P29" s="415">
        <v>7.2705548342424002E-3</v>
      </c>
      <c r="Q29" s="415">
        <v>7.2705548342424002E-3</v>
      </c>
      <c r="R29" s="415">
        <v>7.2705548342424002E-3</v>
      </c>
      <c r="S29" s="415">
        <v>7.2705548342424002E-3</v>
      </c>
      <c r="T29" s="415">
        <v>7.2705548342424002E-3</v>
      </c>
      <c r="U29" s="415">
        <v>7.2705548342424002E-3</v>
      </c>
      <c r="V29" s="415">
        <v>7.2705548342424002E-3</v>
      </c>
    </row>
    <row r="30" spans="1:22" x14ac:dyDescent="0.25">
      <c r="A30" s="411" t="s">
        <v>102</v>
      </c>
      <c r="B30" s="411" t="s">
        <v>5</v>
      </c>
      <c r="C30" s="411" t="s">
        <v>424</v>
      </c>
      <c r="D30" s="413" t="s">
        <v>671</v>
      </c>
      <c r="E30" s="411">
        <v>1.65007193933955</v>
      </c>
      <c r="F30" s="411">
        <v>1.7914017265759099</v>
      </c>
      <c r="G30" s="411">
        <v>2.3715066811376899</v>
      </c>
      <c r="H30" s="411">
        <v>4.5752756803066603</v>
      </c>
      <c r="I30" s="411">
        <v>7.0115506484697798</v>
      </c>
      <c r="J30" s="411">
        <v>7.32069196308169</v>
      </c>
      <c r="K30" s="411">
        <v>2.1935672199931999</v>
      </c>
      <c r="L30" s="411">
        <v>2.85021480059316</v>
      </c>
      <c r="M30" s="411">
        <v>2.3536522077092799</v>
      </c>
      <c r="N30" s="411">
        <v>1.9191288211372699</v>
      </c>
      <c r="O30" s="411">
        <v>2.6569412864733502</v>
      </c>
      <c r="P30" s="411">
        <v>4.7740313484783501</v>
      </c>
      <c r="Q30" s="411">
        <v>8.0527660234878091</v>
      </c>
      <c r="R30" s="411">
        <v>8.3958543453747403</v>
      </c>
      <c r="S30" s="411">
        <v>6.89621737888951</v>
      </c>
      <c r="T30" s="411">
        <v>5.0731985944067404</v>
      </c>
      <c r="U30" s="411">
        <v>3.85267552023612</v>
      </c>
      <c r="V30" s="411">
        <v>3.2745812351958401</v>
      </c>
    </row>
    <row r="31" spans="1:22" x14ac:dyDescent="0.25">
      <c r="A31" s="411" t="s">
        <v>102</v>
      </c>
      <c r="B31" s="411" t="s">
        <v>5</v>
      </c>
      <c r="C31" s="411"/>
      <c r="D31" s="412" t="s">
        <v>672</v>
      </c>
      <c r="E31" s="411">
        <v>9.9676413029728792</v>
      </c>
      <c r="F31" s="411">
        <v>14.0363440209851</v>
      </c>
      <c r="G31" s="411">
        <v>19.103267448289898</v>
      </c>
      <c r="H31" s="411">
        <v>30.145428413017999</v>
      </c>
      <c r="I31" s="411">
        <v>33.624331478614003</v>
      </c>
      <c r="J31" s="411">
        <v>31.101841099135399</v>
      </c>
      <c r="K31" s="411">
        <v>9.2950184274986203</v>
      </c>
      <c r="L31" s="411">
        <v>10.1149450086935</v>
      </c>
      <c r="M31" s="411">
        <v>10.541408563636001</v>
      </c>
      <c r="N31" s="411">
        <v>11.060093766505</v>
      </c>
      <c r="O31" s="411">
        <v>15.711655394378599</v>
      </c>
      <c r="P31" s="411">
        <v>25.0521039444385</v>
      </c>
      <c r="Q31" s="411">
        <v>35.1473295261979</v>
      </c>
      <c r="R31" s="411">
        <v>32.634906333148599</v>
      </c>
      <c r="S31" s="411">
        <v>24.895589116240401</v>
      </c>
      <c r="T31" s="411">
        <v>19.391683309128901</v>
      </c>
      <c r="U31" s="411">
        <v>13.8152241314652</v>
      </c>
      <c r="V31" s="411">
        <v>11.5085986982974</v>
      </c>
    </row>
    <row r="32" spans="1:22" s="84" customFormat="1" x14ac:dyDescent="0.25">
      <c r="A32" s="642" t="s">
        <v>103</v>
      </c>
      <c r="B32" s="642" t="s">
        <v>58</v>
      </c>
      <c r="C32" s="642"/>
      <c r="D32" s="643" t="s">
        <v>673</v>
      </c>
    </row>
    <row r="33" spans="1:22" x14ac:dyDescent="0.25">
      <c r="A33" s="411" t="s">
        <v>103</v>
      </c>
      <c r="B33" s="411" t="s">
        <v>58</v>
      </c>
      <c r="C33" s="411"/>
      <c r="D33" s="412" t="s">
        <v>645</v>
      </c>
    </row>
    <row r="34" spans="1:22" x14ac:dyDescent="0.25">
      <c r="A34" s="411" t="s">
        <v>103</v>
      </c>
      <c r="B34" s="411" t="s">
        <v>58</v>
      </c>
      <c r="C34" s="411"/>
      <c r="D34" s="413" t="s">
        <v>646</v>
      </c>
      <c r="E34" s="411">
        <v>1</v>
      </c>
      <c r="F34" s="411">
        <v>1</v>
      </c>
      <c r="G34" s="411">
        <v>1</v>
      </c>
      <c r="H34" s="411">
        <v>1</v>
      </c>
      <c r="I34" s="411">
        <v>1</v>
      </c>
      <c r="J34" s="411">
        <v>1</v>
      </c>
      <c r="K34" s="411">
        <v>1</v>
      </c>
      <c r="L34" s="411">
        <v>1</v>
      </c>
      <c r="M34" s="411">
        <v>1</v>
      </c>
      <c r="N34" s="411">
        <v>1</v>
      </c>
      <c r="O34" s="411">
        <v>1</v>
      </c>
      <c r="P34" s="411">
        <v>1</v>
      </c>
      <c r="Q34" s="411">
        <v>1</v>
      </c>
      <c r="R34" s="411">
        <v>1</v>
      </c>
      <c r="S34" s="411">
        <v>1</v>
      </c>
      <c r="T34" s="411">
        <v>1</v>
      </c>
      <c r="U34" s="411">
        <v>1</v>
      </c>
      <c r="V34" s="411">
        <v>1</v>
      </c>
    </row>
    <row r="35" spans="1:22" x14ac:dyDescent="0.25">
      <c r="A35" s="411" t="s">
        <v>103</v>
      </c>
      <c r="B35" s="411" t="s">
        <v>58</v>
      </c>
      <c r="C35" s="411"/>
      <c r="D35" s="413" t="s">
        <v>647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11">
        <v>0</v>
      </c>
      <c r="K35" s="411">
        <v>0</v>
      </c>
      <c r="L35" s="411">
        <v>0</v>
      </c>
      <c r="M35" s="411">
        <v>0</v>
      </c>
      <c r="N35" s="411">
        <v>0</v>
      </c>
      <c r="O35" s="411">
        <v>0</v>
      </c>
      <c r="P35" s="411">
        <v>0</v>
      </c>
      <c r="Q35" s="411">
        <v>0</v>
      </c>
      <c r="R35" s="411">
        <v>0</v>
      </c>
      <c r="S35" s="411">
        <v>0</v>
      </c>
      <c r="T35" s="411">
        <v>0</v>
      </c>
      <c r="U35" s="411">
        <v>0</v>
      </c>
      <c r="V35" s="411">
        <v>0</v>
      </c>
    </row>
    <row r="36" spans="1:22" x14ac:dyDescent="0.25">
      <c r="A36" s="411" t="s">
        <v>103</v>
      </c>
      <c r="B36" s="411" t="s">
        <v>58</v>
      </c>
      <c r="C36" s="411"/>
      <c r="D36" s="413" t="s">
        <v>648</v>
      </c>
      <c r="E36" s="411">
        <v>1</v>
      </c>
      <c r="F36" s="411">
        <v>1</v>
      </c>
      <c r="G36" s="411">
        <v>1</v>
      </c>
      <c r="H36" s="411">
        <v>1</v>
      </c>
      <c r="I36" s="411">
        <v>1</v>
      </c>
      <c r="J36" s="411">
        <v>1</v>
      </c>
      <c r="K36" s="411">
        <v>1</v>
      </c>
      <c r="L36" s="411">
        <v>1</v>
      </c>
      <c r="M36" s="411">
        <v>1</v>
      </c>
      <c r="N36" s="411">
        <v>1</v>
      </c>
      <c r="O36" s="411">
        <v>1</v>
      </c>
      <c r="P36" s="411">
        <v>1</v>
      </c>
      <c r="Q36" s="411">
        <v>1</v>
      </c>
      <c r="R36" s="411">
        <v>1</v>
      </c>
      <c r="S36" s="411">
        <v>1</v>
      </c>
      <c r="T36" s="411">
        <v>1</v>
      </c>
      <c r="U36" s="411">
        <v>1</v>
      </c>
      <c r="V36" s="411">
        <v>1</v>
      </c>
    </row>
    <row r="37" spans="1:22" x14ac:dyDescent="0.25">
      <c r="A37" s="411" t="s">
        <v>103</v>
      </c>
      <c r="B37" s="411" t="s">
        <v>58</v>
      </c>
      <c r="C37" s="411"/>
      <c r="D37" s="413" t="s">
        <v>649</v>
      </c>
      <c r="E37" s="411">
        <v>40</v>
      </c>
      <c r="F37" s="411">
        <v>40</v>
      </c>
      <c r="G37" s="411">
        <v>40</v>
      </c>
      <c r="H37" s="411">
        <v>40</v>
      </c>
      <c r="I37" s="411">
        <v>40</v>
      </c>
      <c r="J37" s="411">
        <v>40</v>
      </c>
      <c r="K37" s="411">
        <v>40</v>
      </c>
      <c r="L37" s="411">
        <v>40</v>
      </c>
      <c r="M37" s="411">
        <v>40</v>
      </c>
      <c r="N37" s="411">
        <v>40</v>
      </c>
      <c r="O37" s="411">
        <v>40</v>
      </c>
      <c r="P37" s="411">
        <v>40</v>
      </c>
      <c r="Q37" s="411">
        <v>40</v>
      </c>
      <c r="R37" s="411">
        <v>40</v>
      </c>
      <c r="S37" s="411">
        <v>40</v>
      </c>
      <c r="T37" s="411">
        <v>40</v>
      </c>
      <c r="U37" s="411">
        <v>40</v>
      </c>
      <c r="V37" s="411">
        <v>40</v>
      </c>
    </row>
    <row r="38" spans="1:22" x14ac:dyDescent="0.25">
      <c r="A38" s="411" t="s">
        <v>103</v>
      </c>
      <c r="B38" s="411" t="s">
        <v>58</v>
      </c>
      <c r="C38" s="411"/>
      <c r="D38" s="413" t="s">
        <v>650</v>
      </c>
      <c r="E38" s="411">
        <v>180</v>
      </c>
      <c r="F38" s="411">
        <v>180</v>
      </c>
      <c r="G38" s="411">
        <v>180</v>
      </c>
      <c r="H38" s="411">
        <v>180</v>
      </c>
      <c r="I38" s="411">
        <v>180</v>
      </c>
      <c r="J38" s="411">
        <v>180</v>
      </c>
      <c r="K38" s="411">
        <v>180</v>
      </c>
      <c r="L38" s="411">
        <v>180</v>
      </c>
      <c r="M38" s="411">
        <v>180</v>
      </c>
      <c r="N38" s="411">
        <v>180</v>
      </c>
      <c r="O38" s="411">
        <v>180</v>
      </c>
      <c r="P38" s="411">
        <v>180</v>
      </c>
      <c r="Q38" s="411">
        <v>180</v>
      </c>
      <c r="R38" s="411">
        <v>180</v>
      </c>
      <c r="S38" s="411">
        <v>180</v>
      </c>
      <c r="T38" s="411">
        <v>180</v>
      </c>
      <c r="U38" s="411">
        <v>180</v>
      </c>
      <c r="V38" s="411">
        <v>180</v>
      </c>
    </row>
    <row r="39" spans="1:22" x14ac:dyDescent="0.25">
      <c r="A39" s="411" t="s">
        <v>103</v>
      </c>
      <c r="B39" s="411" t="s">
        <v>58</v>
      </c>
      <c r="C39" s="411" t="s">
        <v>154</v>
      </c>
      <c r="D39" s="412" t="s">
        <v>651</v>
      </c>
      <c r="E39" s="411">
        <v>0.04</v>
      </c>
      <c r="F39" s="411">
        <v>0.04</v>
      </c>
      <c r="G39" s="411">
        <v>0.04</v>
      </c>
      <c r="H39" s="411">
        <v>0.04</v>
      </c>
      <c r="I39" s="411">
        <v>0.04</v>
      </c>
      <c r="J39" s="411">
        <v>0.04</v>
      </c>
      <c r="K39" s="411">
        <v>0.04</v>
      </c>
      <c r="L39" s="411">
        <v>0.04</v>
      </c>
      <c r="M39" s="411">
        <v>0.04</v>
      </c>
      <c r="N39" s="411">
        <v>0.04</v>
      </c>
      <c r="O39" s="411">
        <v>0.04</v>
      </c>
      <c r="P39" s="411">
        <v>0.04</v>
      </c>
      <c r="Q39" s="411">
        <v>0.04</v>
      </c>
      <c r="R39" s="411">
        <v>0.04</v>
      </c>
      <c r="S39" s="411">
        <v>0.04</v>
      </c>
      <c r="T39" s="411">
        <v>0.04</v>
      </c>
      <c r="U39" s="411">
        <v>0.04</v>
      </c>
      <c r="V39" s="411">
        <v>0.04</v>
      </c>
    </row>
    <row r="40" spans="1:22" x14ac:dyDescent="0.25">
      <c r="A40" s="411" t="s">
        <v>103</v>
      </c>
      <c r="B40" s="411" t="s">
        <v>58</v>
      </c>
      <c r="C40" s="411"/>
      <c r="D40" s="412" t="s">
        <v>652</v>
      </c>
    </row>
    <row r="41" spans="1:22" x14ac:dyDescent="0.25">
      <c r="A41" s="411" t="s">
        <v>103</v>
      </c>
      <c r="B41" s="411" t="s">
        <v>58</v>
      </c>
      <c r="C41" s="411"/>
      <c r="D41" s="413" t="s">
        <v>653</v>
      </c>
      <c r="E41" s="411">
        <v>0.6</v>
      </c>
      <c r="F41" s="411">
        <v>0.6</v>
      </c>
      <c r="G41" s="411">
        <v>0.6</v>
      </c>
      <c r="H41" s="411">
        <v>0.6</v>
      </c>
      <c r="I41" s="411">
        <v>0.6</v>
      </c>
      <c r="J41" s="411">
        <v>0.6</v>
      </c>
      <c r="K41" s="411">
        <v>0.6</v>
      </c>
      <c r="L41" s="411">
        <v>0.6</v>
      </c>
      <c r="M41" s="411">
        <v>0.6</v>
      </c>
      <c r="N41" s="411">
        <v>0.6</v>
      </c>
      <c r="O41" s="411">
        <v>0.6</v>
      </c>
      <c r="P41" s="411">
        <v>0.6</v>
      </c>
      <c r="Q41" s="411">
        <v>0.6</v>
      </c>
      <c r="R41" s="411">
        <v>0.6</v>
      </c>
      <c r="S41" s="411">
        <v>0.6</v>
      </c>
      <c r="T41" s="411">
        <v>0.6</v>
      </c>
      <c r="U41" s="411">
        <v>0.6</v>
      </c>
      <c r="V41" s="411">
        <v>0.6</v>
      </c>
    </row>
    <row r="42" spans="1:22" x14ac:dyDescent="0.25">
      <c r="A42" s="411" t="s">
        <v>103</v>
      </c>
      <c r="B42" s="411" t="s">
        <v>58</v>
      </c>
      <c r="C42" s="411"/>
      <c r="D42" s="413" t="s">
        <v>654</v>
      </c>
      <c r="E42" s="411">
        <v>0</v>
      </c>
      <c r="F42" s="411">
        <v>0</v>
      </c>
      <c r="G42" s="411">
        <v>0</v>
      </c>
      <c r="H42" s="411">
        <v>0</v>
      </c>
      <c r="I42" s="411">
        <v>0</v>
      </c>
      <c r="J42" s="411">
        <v>0</v>
      </c>
      <c r="K42" s="411">
        <v>0</v>
      </c>
      <c r="L42" s="411">
        <v>0</v>
      </c>
      <c r="M42" s="411">
        <v>0</v>
      </c>
      <c r="N42" s="411">
        <v>0</v>
      </c>
      <c r="O42" s="411">
        <v>0</v>
      </c>
      <c r="P42" s="411">
        <v>0</v>
      </c>
      <c r="Q42" s="411">
        <v>0</v>
      </c>
      <c r="R42" s="411">
        <v>0</v>
      </c>
      <c r="S42" s="411">
        <v>0</v>
      </c>
      <c r="T42" s="411">
        <v>0</v>
      </c>
      <c r="U42" s="411">
        <v>0</v>
      </c>
      <c r="V42" s="411">
        <v>0</v>
      </c>
    </row>
    <row r="43" spans="1:22" x14ac:dyDescent="0.25">
      <c r="A43" s="411" t="s">
        <v>103</v>
      </c>
      <c r="B43" s="411" t="s">
        <v>58</v>
      </c>
      <c r="C43" s="415"/>
      <c r="D43" s="414" t="s">
        <v>655</v>
      </c>
      <c r="E43" s="415">
        <v>5.9999999999999995E-4</v>
      </c>
      <c r="F43" s="415">
        <v>5.9999999999999995E-4</v>
      </c>
      <c r="G43" s="415">
        <v>5.9999999999999995E-4</v>
      </c>
      <c r="H43" s="415">
        <v>5.9999999999999995E-4</v>
      </c>
      <c r="I43" s="415">
        <v>5.9999999999999995E-4</v>
      </c>
      <c r="J43" s="415">
        <v>5.9999999999999995E-4</v>
      </c>
      <c r="K43" s="415">
        <v>5.9999999999999995E-4</v>
      </c>
      <c r="L43" s="415">
        <v>5.9999999999999995E-4</v>
      </c>
      <c r="M43" s="415">
        <v>5.9999999999999995E-4</v>
      </c>
      <c r="N43" s="415">
        <v>5.9999999999999995E-4</v>
      </c>
      <c r="O43" s="415">
        <v>5.9999999999999995E-4</v>
      </c>
      <c r="P43" s="415">
        <v>5.9999999999999995E-4</v>
      </c>
      <c r="Q43" s="415">
        <v>5.9999999999999995E-4</v>
      </c>
      <c r="R43" s="415">
        <v>5.9999999999999995E-4</v>
      </c>
      <c r="S43" s="415">
        <v>5.9999999999999995E-4</v>
      </c>
      <c r="T43" s="415">
        <v>5.9999999999999995E-4</v>
      </c>
      <c r="U43" s="415">
        <v>5.9999999999999995E-4</v>
      </c>
      <c r="V43" s="415">
        <v>5.9999999999999995E-4</v>
      </c>
    </row>
    <row r="44" spans="1:22" x14ac:dyDescent="0.25">
      <c r="A44" s="411" t="s">
        <v>103</v>
      </c>
      <c r="B44" s="411" t="s">
        <v>58</v>
      </c>
      <c r="C44" s="415"/>
      <c r="D44" s="414" t="s">
        <v>656</v>
      </c>
      <c r="E44" s="415">
        <v>0.33289999999999997</v>
      </c>
      <c r="F44" s="415">
        <v>0.33289999999999997</v>
      </c>
      <c r="G44" s="415">
        <v>0.33289999999999997</v>
      </c>
      <c r="H44" s="415">
        <v>0.33289999999999997</v>
      </c>
      <c r="I44" s="415">
        <v>0.33289999999999997</v>
      </c>
      <c r="J44" s="415">
        <v>0.33289999999999997</v>
      </c>
      <c r="K44" s="415">
        <v>0.33289999999999997</v>
      </c>
      <c r="L44" s="415">
        <v>0.33289999999999997</v>
      </c>
      <c r="M44" s="415">
        <v>0.33289999999999997</v>
      </c>
      <c r="N44" s="415">
        <v>0.33289999999999997</v>
      </c>
      <c r="O44" s="415">
        <v>0.33289999999999997</v>
      </c>
      <c r="P44" s="415">
        <v>0.33289999999999997</v>
      </c>
      <c r="Q44" s="415">
        <v>0.33289999999999997</v>
      </c>
      <c r="R44" s="415">
        <v>0.33289999999999997</v>
      </c>
      <c r="S44" s="415">
        <v>0.33289999999999997</v>
      </c>
      <c r="T44" s="415">
        <v>0.33289999999999997</v>
      </c>
      <c r="U44" s="415">
        <v>0.33289999999999997</v>
      </c>
      <c r="V44" s="415">
        <v>0.33289999999999997</v>
      </c>
    </row>
    <row r="45" spans="1:22" x14ac:dyDescent="0.25">
      <c r="A45" s="411" t="s">
        <v>103</v>
      </c>
      <c r="B45" s="411" t="s">
        <v>58</v>
      </c>
      <c r="C45" s="415"/>
      <c r="D45" s="414" t="s">
        <v>657</v>
      </c>
      <c r="E45" s="415">
        <v>0.33289999999999997</v>
      </c>
      <c r="F45" s="415">
        <v>0.33289999999999997</v>
      </c>
      <c r="G45" s="415">
        <v>0.33289999999999997</v>
      </c>
      <c r="H45" s="415">
        <v>0.33289999999999997</v>
      </c>
      <c r="I45" s="415">
        <v>0.33289999999999997</v>
      </c>
      <c r="J45" s="415">
        <v>0.33289999999999997</v>
      </c>
      <c r="K45" s="415">
        <v>0.33289999999999997</v>
      </c>
      <c r="L45" s="415">
        <v>0.33289999999999997</v>
      </c>
      <c r="M45" s="415">
        <v>0.33289999999999997</v>
      </c>
      <c r="N45" s="415">
        <v>0.33289999999999997</v>
      </c>
      <c r="O45" s="415">
        <v>0.33289999999999997</v>
      </c>
      <c r="P45" s="415">
        <v>0.33289999999999997</v>
      </c>
      <c r="Q45" s="415">
        <v>0.33289999999999997</v>
      </c>
      <c r="R45" s="415">
        <v>0.33289999999999997</v>
      </c>
      <c r="S45" s="415">
        <v>0.33289999999999997</v>
      </c>
      <c r="T45" s="415">
        <v>0.33289999999999997</v>
      </c>
      <c r="U45" s="415">
        <v>0.33289999999999997</v>
      </c>
      <c r="V45" s="415">
        <v>0.33289999999999997</v>
      </c>
    </row>
    <row r="46" spans="1:22" x14ac:dyDescent="0.25">
      <c r="A46" s="411" t="s">
        <v>103</v>
      </c>
      <c r="B46" s="411" t="s">
        <v>58</v>
      </c>
      <c r="C46" s="415"/>
      <c r="D46" s="414" t="s">
        <v>658</v>
      </c>
      <c r="E46" s="415">
        <v>0.33289999999999997</v>
      </c>
      <c r="F46" s="415">
        <v>0.33289999999999997</v>
      </c>
      <c r="G46" s="415">
        <v>0.33289999999999997</v>
      </c>
      <c r="H46" s="415">
        <v>0.33289999999999997</v>
      </c>
      <c r="I46" s="415">
        <v>0.33289999999999997</v>
      </c>
      <c r="J46" s="415">
        <v>0.33289999999999997</v>
      </c>
      <c r="K46" s="415">
        <v>0.33289999999999997</v>
      </c>
      <c r="L46" s="415">
        <v>0.33289999999999997</v>
      </c>
      <c r="M46" s="415">
        <v>0.33289999999999997</v>
      </c>
      <c r="N46" s="415">
        <v>0.33289999999999997</v>
      </c>
      <c r="O46" s="415">
        <v>0.33289999999999997</v>
      </c>
      <c r="P46" s="415">
        <v>0.33289999999999997</v>
      </c>
      <c r="Q46" s="415">
        <v>0.33289999999999997</v>
      </c>
      <c r="R46" s="415">
        <v>0.33289999999999997</v>
      </c>
      <c r="S46" s="415">
        <v>0.33289999999999997</v>
      </c>
      <c r="T46" s="415">
        <v>0.33289999999999997</v>
      </c>
      <c r="U46" s="415">
        <v>0.33289999999999997</v>
      </c>
      <c r="V46" s="415">
        <v>0.33289999999999997</v>
      </c>
    </row>
    <row r="47" spans="1:22" x14ac:dyDescent="0.25">
      <c r="A47" s="411" t="s">
        <v>103</v>
      </c>
      <c r="B47" s="411" t="s">
        <v>58</v>
      </c>
      <c r="C47" s="411" t="s">
        <v>436</v>
      </c>
      <c r="D47" s="412" t="s">
        <v>659</v>
      </c>
      <c r="E47" s="411">
        <v>1.9973999999999901E-4</v>
      </c>
      <c r="F47" s="411">
        <v>1.9973999999999901E-4</v>
      </c>
      <c r="G47" s="411">
        <v>1.9973999999999901E-4</v>
      </c>
      <c r="H47" s="411">
        <v>1.9973999999999901E-4</v>
      </c>
      <c r="I47" s="411">
        <v>1.9973999999999901E-4</v>
      </c>
      <c r="J47" s="411">
        <v>1.9973999999999901E-4</v>
      </c>
      <c r="K47" s="411">
        <v>1.9973999999999901E-4</v>
      </c>
      <c r="L47" s="411">
        <v>1.9973999999999901E-4</v>
      </c>
      <c r="M47" s="411">
        <v>1.9973999999999901E-4</v>
      </c>
      <c r="N47" s="411">
        <v>1.9973999999999901E-4</v>
      </c>
      <c r="O47" s="411">
        <v>1.9973999999999901E-4</v>
      </c>
      <c r="P47" s="411">
        <v>1.9973999999999901E-4</v>
      </c>
      <c r="Q47" s="411">
        <v>1.9973999999999901E-4</v>
      </c>
      <c r="R47" s="411">
        <v>1.9973999999999901E-4</v>
      </c>
      <c r="S47" s="411">
        <v>1.9973999999999901E-4</v>
      </c>
      <c r="T47" s="411">
        <v>1.9973999999999901E-4</v>
      </c>
      <c r="U47" s="411">
        <v>1.9973999999999901E-4</v>
      </c>
      <c r="V47" s="411">
        <v>1.9973999999999901E-4</v>
      </c>
    </row>
    <row r="48" spans="1:22" x14ac:dyDescent="0.25">
      <c r="A48" s="411" t="s">
        <v>103</v>
      </c>
      <c r="B48" s="411" t="s">
        <v>58</v>
      </c>
      <c r="C48" s="411"/>
      <c r="D48" s="412" t="s">
        <v>660</v>
      </c>
    </row>
    <row r="49" spans="1:22" x14ac:dyDescent="0.25">
      <c r="A49" s="411" t="s">
        <v>103</v>
      </c>
      <c r="B49" s="411" t="s">
        <v>58</v>
      </c>
      <c r="C49" s="411"/>
      <c r="D49" s="412" t="s">
        <v>661</v>
      </c>
    </row>
    <row r="50" spans="1:22" x14ac:dyDescent="0.25">
      <c r="A50" s="411" t="s">
        <v>103</v>
      </c>
      <c r="B50" s="411" t="s">
        <v>58</v>
      </c>
      <c r="C50" s="411"/>
      <c r="D50" s="413" t="s">
        <v>674</v>
      </c>
      <c r="E50" s="411">
        <v>48.3</v>
      </c>
      <c r="F50" s="411">
        <v>48.3</v>
      </c>
      <c r="G50" s="411">
        <v>48.3</v>
      </c>
      <c r="H50" s="411">
        <v>48.3</v>
      </c>
      <c r="I50" s="411">
        <v>48.3</v>
      </c>
      <c r="J50" s="411">
        <v>48.3</v>
      </c>
      <c r="K50" s="411">
        <v>48.3</v>
      </c>
      <c r="L50" s="411">
        <v>48.3</v>
      </c>
      <c r="M50" s="411">
        <v>48.3</v>
      </c>
      <c r="N50" s="411">
        <v>48.3</v>
      </c>
      <c r="O50" s="411">
        <v>48.3</v>
      </c>
      <c r="P50" s="411">
        <v>48.3</v>
      </c>
      <c r="Q50" s="411">
        <v>48.3</v>
      </c>
      <c r="R50" s="411">
        <v>48.3</v>
      </c>
      <c r="S50" s="411">
        <v>48.3</v>
      </c>
      <c r="T50" s="411">
        <v>48.3</v>
      </c>
      <c r="U50" s="411">
        <v>48.3</v>
      </c>
      <c r="V50" s="411">
        <v>48.3</v>
      </c>
    </row>
    <row r="51" spans="1:22" x14ac:dyDescent="0.25">
      <c r="A51" s="411" t="s">
        <v>103</v>
      </c>
      <c r="B51" s="411" t="s">
        <v>58</v>
      </c>
      <c r="C51" s="415"/>
      <c r="D51" s="414" t="s">
        <v>675</v>
      </c>
      <c r="E51" s="415">
        <v>11.263</v>
      </c>
      <c r="F51" s="415">
        <v>11.263</v>
      </c>
      <c r="G51" s="415">
        <v>11.263</v>
      </c>
      <c r="H51" s="415">
        <v>11.263</v>
      </c>
      <c r="I51" s="415">
        <v>11.263</v>
      </c>
      <c r="J51" s="415">
        <v>11.263</v>
      </c>
      <c r="K51" s="415">
        <v>11.263</v>
      </c>
      <c r="L51" s="415">
        <v>11.263</v>
      </c>
      <c r="M51" s="415">
        <v>11.263</v>
      </c>
      <c r="N51" s="415">
        <v>11.263</v>
      </c>
      <c r="O51" s="415">
        <v>11.263</v>
      </c>
      <c r="P51" s="415">
        <v>11.263</v>
      </c>
      <c r="Q51" s="415">
        <v>11.263</v>
      </c>
      <c r="R51" s="415">
        <v>11.263</v>
      </c>
      <c r="S51" s="415">
        <v>11.263</v>
      </c>
      <c r="T51" s="415">
        <v>11.263</v>
      </c>
      <c r="U51" s="415">
        <v>11.263</v>
      </c>
      <c r="V51" s="415">
        <v>11.263</v>
      </c>
    </row>
    <row r="52" spans="1:22" x14ac:dyDescent="0.25">
      <c r="A52" s="411" t="s">
        <v>103</v>
      </c>
      <c r="B52" s="411" t="s">
        <v>58</v>
      </c>
      <c r="C52" s="415" t="s">
        <v>208</v>
      </c>
      <c r="D52" s="417" t="s">
        <v>676</v>
      </c>
      <c r="E52" s="415">
        <v>0.54400289999999996</v>
      </c>
      <c r="F52" s="415">
        <v>0.54400289999999996</v>
      </c>
      <c r="G52" s="415">
        <v>0.54400289999999996</v>
      </c>
      <c r="H52" s="415">
        <v>0.54400289999999996</v>
      </c>
      <c r="I52" s="415">
        <v>0.54400289999999996</v>
      </c>
      <c r="J52" s="415">
        <v>0.54400289999999996</v>
      </c>
      <c r="K52" s="415">
        <v>0.54400289999999996</v>
      </c>
      <c r="L52" s="415">
        <v>0.54400289999999996</v>
      </c>
      <c r="M52" s="415">
        <v>0.54400289999999996</v>
      </c>
      <c r="N52" s="415">
        <v>0.54400289999999996</v>
      </c>
      <c r="O52" s="415">
        <v>0.54400289999999996</v>
      </c>
      <c r="P52" s="415">
        <v>0.54400289999999996</v>
      </c>
      <c r="Q52" s="415">
        <v>0.54400289999999996</v>
      </c>
      <c r="R52" s="415">
        <v>0.54400289999999996</v>
      </c>
      <c r="S52" s="415">
        <v>0.54400289999999996</v>
      </c>
      <c r="T52" s="415">
        <v>0.54400289999999996</v>
      </c>
      <c r="U52" s="415">
        <v>0.54400289999999996</v>
      </c>
      <c r="V52" s="415">
        <v>0.54400289999999996</v>
      </c>
    </row>
    <row r="53" spans="1:22" x14ac:dyDescent="0.25">
      <c r="A53" s="411" t="s">
        <v>103</v>
      </c>
      <c r="B53" s="411" t="s">
        <v>58</v>
      </c>
      <c r="C53" s="411"/>
      <c r="D53" s="412" t="s">
        <v>662</v>
      </c>
      <c r="E53" s="411">
        <v>0.58420264</v>
      </c>
      <c r="F53" s="411">
        <v>0.58420264</v>
      </c>
      <c r="G53" s="411">
        <v>0.58420264</v>
      </c>
      <c r="H53" s="411">
        <v>0.58420264</v>
      </c>
      <c r="I53" s="411">
        <v>0.58420264</v>
      </c>
      <c r="J53" s="411">
        <v>0.58420264</v>
      </c>
      <c r="K53" s="411">
        <v>0.58420264</v>
      </c>
      <c r="L53" s="411">
        <v>0.58420264</v>
      </c>
      <c r="M53" s="411">
        <v>0.58420264</v>
      </c>
      <c r="N53" s="411">
        <v>0.58420264</v>
      </c>
      <c r="O53" s="411">
        <v>0.58420264</v>
      </c>
      <c r="P53" s="411">
        <v>0.58420264</v>
      </c>
      <c r="Q53" s="411">
        <v>0.58420264</v>
      </c>
      <c r="R53" s="411">
        <v>0.58420264</v>
      </c>
      <c r="S53" s="411">
        <v>0.58420264</v>
      </c>
      <c r="T53" s="411">
        <v>0.58420264</v>
      </c>
      <c r="U53" s="411">
        <v>0.58420264</v>
      </c>
      <c r="V53" s="411">
        <v>0.58420264</v>
      </c>
    </row>
    <row r="54" spans="1:22" x14ac:dyDescent="0.25">
      <c r="A54" s="411" t="s">
        <v>103</v>
      </c>
      <c r="B54" s="411" t="s">
        <v>58</v>
      </c>
      <c r="C54" s="411"/>
      <c r="D54" s="412" t="s">
        <v>663</v>
      </c>
    </row>
    <row r="55" spans="1:22" x14ac:dyDescent="0.25">
      <c r="A55" s="411" t="s">
        <v>103</v>
      </c>
      <c r="B55" s="411" t="s">
        <v>58</v>
      </c>
      <c r="C55" s="415"/>
      <c r="D55" s="414" t="s">
        <v>664</v>
      </c>
      <c r="E55" s="415">
        <v>3.54132328535503</v>
      </c>
      <c r="F55" s="415">
        <v>4.0825536529198896</v>
      </c>
      <c r="G55" s="415">
        <v>4.6151370530302804</v>
      </c>
      <c r="H55" s="415">
        <v>4.7204926546137003</v>
      </c>
      <c r="I55" s="415">
        <v>4.2816079006073897</v>
      </c>
      <c r="J55" s="415">
        <v>4.61774840312499</v>
      </c>
      <c r="K55" s="415">
        <v>3.6370825733754901</v>
      </c>
      <c r="L55" s="415">
        <v>3.1998593487156</v>
      </c>
      <c r="M55" s="415">
        <v>3.4441400635944199</v>
      </c>
      <c r="N55" s="415">
        <v>2.6697967759149801</v>
      </c>
      <c r="O55" s="415">
        <v>3.6621728781104101</v>
      </c>
      <c r="P55" s="415">
        <v>3.9547219031793199</v>
      </c>
      <c r="Q55" s="415">
        <v>4.3060793499123999</v>
      </c>
      <c r="R55" s="415">
        <v>4.66270835833049</v>
      </c>
      <c r="S55" s="415">
        <v>5.2056863414265502</v>
      </c>
      <c r="T55" s="415">
        <v>5.4531502607765896</v>
      </c>
      <c r="U55" s="415">
        <v>5.0764131270513699</v>
      </c>
      <c r="V55" s="415">
        <v>4.0447960531742</v>
      </c>
    </row>
    <row r="56" spans="1:22" x14ac:dyDescent="0.25">
      <c r="A56" s="411" t="s">
        <v>103</v>
      </c>
      <c r="B56" s="411" t="s">
        <v>58</v>
      </c>
      <c r="C56" s="411" t="s">
        <v>178</v>
      </c>
      <c r="D56" s="413" t="s">
        <v>665</v>
      </c>
      <c r="E56" s="411">
        <v>2.12479397121302E-3</v>
      </c>
      <c r="F56" s="411">
        <v>2.4495321917519298E-3</v>
      </c>
      <c r="G56" s="411">
        <v>2.7690822318181601E-3</v>
      </c>
      <c r="H56" s="411">
        <v>2.8322955927682198E-3</v>
      </c>
      <c r="I56" s="411">
        <v>2.5689647403644299E-3</v>
      </c>
      <c r="J56" s="411">
        <v>2.77064904187499E-3</v>
      </c>
      <c r="K56" s="411">
        <v>2.1822495440252899E-3</v>
      </c>
      <c r="L56" s="411">
        <v>1.91991560922936E-3</v>
      </c>
      <c r="M56" s="411">
        <v>2.0664840381566501E-3</v>
      </c>
      <c r="N56" s="411">
        <v>1.60187806554899E-3</v>
      </c>
      <c r="O56" s="411">
        <v>2.1973037268662398E-3</v>
      </c>
      <c r="P56" s="411">
        <v>2.3728331419075898E-3</v>
      </c>
      <c r="Q56" s="411">
        <v>2.5836476099474399E-3</v>
      </c>
      <c r="R56" s="411">
        <v>2.7976250149982901E-3</v>
      </c>
      <c r="S56" s="411">
        <v>3.1234118048559301E-3</v>
      </c>
      <c r="T56" s="411">
        <v>3.27189015646595E-3</v>
      </c>
      <c r="U56" s="411">
        <v>3.0458478762308201E-3</v>
      </c>
      <c r="V56" s="411">
        <v>2.4268776319045201E-3</v>
      </c>
    </row>
    <row r="57" spans="1:22" x14ac:dyDescent="0.25">
      <c r="A57" s="411" t="s">
        <v>103</v>
      </c>
      <c r="B57" s="411" t="s">
        <v>58</v>
      </c>
      <c r="C57" s="411"/>
      <c r="D57" s="412" t="s">
        <v>666</v>
      </c>
    </row>
    <row r="58" spans="1:22" x14ac:dyDescent="0.25">
      <c r="A58" s="411" t="s">
        <v>103</v>
      </c>
      <c r="B58" s="411" t="s">
        <v>58</v>
      </c>
      <c r="C58" s="415"/>
      <c r="D58" s="414" t="s">
        <v>667</v>
      </c>
      <c r="E58" s="415">
        <v>0.34906843462946002</v>
      </c>
      <c r="F58" s="415">
        <v>0.16939007523933</v>
      </c>
      <c r="G58" s="415">
        <v>9.4024398016510996E-2</v>
      </c>
      <c r="H58" s="415">
        <v>7.9005885786712304E-2</v>
      </c>
      <c r="I58" s="415">
        <v>4.2818241030573301E-2</v>
      </c>
      <c r="J58" s="415">
        <v>5.3348528484577801E-2</v>
      </c>
      <c r="K58" s="415">
        <v>0.24690512534735301</v>
      </c>
      <c r="L58" s="415">
        <v>0.286805863570613</v>
      </c>
      <c r="M58" s="415">
        <v>0.2714755224323</v>
      </c>
      <c r="N58" s="415">
        <v>0.23977615362243901</v>
      </c>
      <c r="O58" s="415">
        <v>0.112823983088882</v>
      </c>
      <c r="P58" s="415">
        <v>3.1676324500992899E-2</v>
      </c>
      <c r="Q58" s="415">
        <v>5.1767532114618299E-2</v>
      </c>
      <c r="R58" s="415">
        <v>6.4560825100963504E-2</v>
      </c>
      <c r="S58" s="415">
        <v>0.10990553607190399</v>
      </c>
      <c r="T58" s="415">
        <v>0.18637651503338701</v>
      </c>
      <c r="U58" s="415">
        <v>0.28860955010716799</v>
      </c>
      <c r="V58" s="415">
        <v>0.33287319112658798</v>
      </c>
    </row>
    <row r="59" spans="1:22" x14ac:dyDescent="0.25">
      <c r="A59" s="411" t="s">
        <v>103</v>
      </c>
      <c r="B59" s="411" t="s">
        <v>58</v>
      </c>
      <c r="C59" s="411" t="s">
        <v>180</v>
      </c>
      <c r="D59" s="413" t="s">
        <v>668</v>
      </c>
      <c r="E59" s="411">
        <v>2.0944106077767601E-4</v>
      </c>
      <c r="F59" s="411">
        <v>1.01634045143598E-4</v>
      </c>
      <c r="G59" s="411">
        <v>5.6414638809906603E-5</v>
      </c>
      <c r="H59" s="411">
        <v>4.7403531472027398E-5</v>
      </c>
      <c r="I59" s="411">
        <v>2.5690944618344001E-5</v>
      </c>
      <c r="J59" s="411">
        <v>3.2009117090746697E-5</v>
      </c>
      <c r="K59" s="411">
        <v>1.48143075208412E-4</v>
      </c>
      <c r="L59" s="411">
        <v>1.72083518142368E-4</v>
      </c>
      <c r="M59" s="411">
        <v>1.6288531345937999E-4</v>
      </c>
      <c r="N59" s="411">
        <v>1.4386569217346299E-4</v>
      </c>
      <c r="O59" s="411">
        <v>6.7694389853329204E-5</v>
      </c>
      <c r="P59" s="411">
        <v>1.90057947005957E-5</v>
      </c>
      <c r="Q59" s="411">
        <v>3.1060519268770998E-5</v>
      </c>
      <c r="R59" s="411">
        <v>3.8736495060578099E-5</v>
      </c>
      <c r="S59" s="411">
        <v>6.5943321643142407E-5</v>
      </c>
      <c r="T59" s="411">
        <v>1.11825909020032E-4</v>
      </c>
      <c r="U59" s="411">
        <v>1.731657300643E-4</v>
      </c>
      <c r="V59" s="411">
        <v>1.9972391467595299E-4</v>
      </c>
    </row>
    <row r="60" spans="1:22" x14ac:dyDescent="0.25">
      <c r="A60" s="411" t="s">
        <v>103</v>
      </c>
      <c r="B60" s="411" t="s">
        <v>58</v>
      </c>
      <c r="C60" s="411"/>
      <c r="D60" s="412" t="s">
        <v>669</v>
      </c>
    </row>
    <row r="61" spans="1:22" x14ac:dyDescent="0.25">
      <c r="A61" s="411" t="s">
        <v>103</v>
      </c>
      <c r="B61" s="411" t="s">
        <v>58</v>
      </c>
      <c r="C61" s="415"/>
      <c r="D61" s="414" t="s">
        <v>670</v>
      </c>
      <c r="E61" s="415">
        <v>0</v>
      </c>
      <c r="F61" s="415">
        <v>0</v>
      </c>
      <c r="G61" s="415">
        <v>0</v>
      </c>
      <c r="H61" s="415">
        <v>0</v>
      </c>
      <c r="I61" s="415">
        <v>0</v>
      </c>
      <c r="J61" s="415">
        <v>0</v>
      </c>
      <c r="K61" s="415">
        <v>0</v>
      </c>
      <c r="L61" s="415">
        <v>0</v>
      </c>
      <c r="M61" s="415">
        <v>0</v>
      </c>
      <c r="N61" s="415">
        <v>0</v>
      </c>
      <c r="O61" s="415">
        <v>0</v>
      </c>
      <c r="P61" s="415">
        <v>0</v>
      </c>
      <c r="Q61" s="415">
        <v>0</v>
      </c>
      <c r="R61" s="415">
        <v>0</v>
      </c>
      <c r="S61" s="415">
        <v>0</v>
      </c>
      <c r="T61" s="415">
        <v>0</v>
      </c>
      <c r="U61" s="415">
        <v>0</v>
      </c>
      <c r="V61" s="415">
        <v>0</v>
      </c>
    </row>
    <row r="62" spans="1:22" x14ac:dyDescent="0.25">
      <c r="A62" s="411" t="s">
        <v>103</v>
      </c>
      <c r="B62" s="411" t="s">
        <v>58</v>
      </c>
      <c r="C62" s="411" t="s">
        <v>424</v>
      </c>
      <c r="D62" s="413" t="s">
        <v>671</v>
      </c>
      <c r="E62" s="411">
        <v>0</v>
      </c>
      <c r="F62" s="411">
        <v>0</v>
      </c>
      <c r="G62" s="411">
        <v>0</v>
      </c>
      <c r="H62" s="411">
        <v>0</v>
      </c>
      <c r="I62" s="411">
        <v>0</v>
      </c>
      <c r="J62" s="411">
        <v>0</v>
      </c>
      <c r="K62" s="411">
        <v>0</v>
      </c>
      <c r="L62" s="411">
        <v>0</v>
      </c>
      <c r="M62" s="411">
        <v>0</v>
      </c>
      <c r="N62" s="411">
        <v>0</v>
      </c>
      <c r="O62" s="411">
        <v>0</v>
      </c>
      <c r="P62" s="411">
        <v>0</v>
      </c>
      <c r="Q62" s="411">
        <v>0</v>
      </c>
      <c r="R62" s="411">
        <v>0</v>
      </c>
      <c r="S62" s="411">
        <v>0</v>
      </c>
      <c r="T62" s="411">
        <v>0</v>
      </c>
      <c r="U62" s="411">
        <v>0</v>
      </c>
      <c r="V62" s="411">
        <v>0</v>
      </c>
    </row>
    <row r="63" spans="1:22" x14ac:dyDescent="0.25">
      <c r="A63" s="411" t="s">
        <v>103</v>
      </c>
      <c r="B63" s="411" t="s">
        <v>58</v>
      </c>
      <c r="C63" s="411"/>
      <c r="D63" s="412" t="s">
        <v>672</v>
      </c>
      <c r="E63" s="411">
        <v>0.58653687503199003</v>
      </c>
      <c r="F63" s="411">
        <v>0.58675380623689499</v>
      </c>
      <c r="G63" s="411">
        <v>0.58702813687062805</v>
      </c>
      <c r="H63" s="411">
        <v>0.58708233912424002</v>
      </c>
      <c r="I63" s="411">
        <v>0.58679729568498196</v>
      </c>
      <c r="J63" s="411">
        <v>0.58700529815896496</v>
      </c>
      <c r="K63" s="411">
        <v>0.58653303261923295</v>
      </c>
      <c r="L63" s="411">
        <v>0.58629463912737101</v>
      </c>
      <c r="M63" s="411">
        <v>0.58643200935161599</v>
      </c>
      <c r="N63" s="411">
        <v>0.58594838375772196</v>
      </c>
      <c r="O63" s="411">
        <v>0.58646763811671898</v>
      </c>
      <c r="P63" s="411">
        <v>0.58659447893660799</v>
      </c>
      <c r="Q63" s="411">
        <v>0.58681734812921604</v>
      </c>
      <c r="R63" s="411">
        <v>0.58703900151005795</v>
      </c>
      <c r="S63" s="411">
        <v>0.58739199512649898</v>
      </c>
      <c r="T63" s="411">
        <v>0.58758635606548604</v>
      </c>
      <c r="U63" s="411">
        <v>0.58742165360629495</v>
      </c>
      <c r="V63" s="411">
        <v>0.58682924154658</v>
      </c>
    </row>
    <row r="64" spans="1:22" s="84" customFormat="1" x14ac:dyDescent="0.25">
      <c r="A64" s="642" t="s">
        <v>108</v>
      </c>
      <c r="B64" s="642" t="s">
        <v>41</v>
      </c>
      <c r="C64" s="642"/>
      <c r="D64" s="643" t="s">
        <v>677</v>
      </c>
    </row>
    <row r="65" spans="1:22" x14ac:dyDescent="0.25">
      <c r="A65" s="411" t="s">
        <v>108</v>
      </c>
      <c r="B65" s="411" t="s">
        <v>41</v>
      </c>
      <c r="C65" s="411"/>
      <c r="D65" s="412" t="s">
        <v>645</v>
      </c>
    </row>
    <row r="66" spans="1:22" x14ac:dyDescent="0.25">
      <c r="A66" s="411" t="s">
        <v>108</v>
      </c>
      <c r="B66" s="411" t="s">
        <v>41</v>
      </c>
      <c r="C66" s="411"/>
      <c r="D66" s="413" t="s">
        <v>646</v>
      </c>
      <c r="E66" s="411">
        <v>8</v>
      </c>
      <c r="F66" s="411">
        <v>8</v>
      </c>
      <c r="G66" s="411">
        <v>8</v>
      </c>
      <c r="H66" s="411">
        <v>8</v>
      </c>
      <c r="I66" s="411">
        <v>8</v>
      </c>
      <c r="J66" s="411">
        <v>8</v>
      </c>
      <c r="K66" s="411">
        <v>8</v>
      </c>
      <c r="L66" s="411">
        <v>8</v>
      </c>
      <c r="M66" s="411">
        <v>8</v>
      </c>
      <c r="N66" s="411">
        <v>8</v>
      </c>
      <c r="O66" s="411">
        <v>8</v>
      </c>
      <c r="P66" s="411">
        <v>8</v>
      </c>
      <c r="Q66" s="411">
        <v>8</v>
      </c>
      <c r="R66" s="411">
        <v>8</v>
      </c>
      <c r="S66" s="411">
        <v>8</v>
      </c>
      <c r="T66" s="411">
        <v>8</v>
      </c>
      <c r="U66" s="411">
        <v>8</v>
      </c>
      <c r="V66" s="411">
        <v>8</v>
      </c>
    </row>
    <row r="67" spans="1:22" x14ac:dyDescent="0.25">
      <c r="A67" s="411" t="s">
        <v>108</v>
      </c>
      <c r="B67" s="411" t="s">
        <v>41</v>
      </c>
      <c r="C67" s="411"/>
      <c r="D67" s="413" t="s">
        <v>647</v>
      </c>
      <c r="E67" s="411">
        <v>0</v>
      </c>
      <c r="F67" s="411">
        <v>0</v>
      </c>
      <c r="G67" s="411">
        <v>0</v>
      </c>
      <c r="H67" s="411">
        <v>0</v>
      </c>
      <c r="I67" s="411">
        <v>0</v>
      </c>
      <c r="J67" s="411">
        <v>0</v>
      </c>
      <c r="K67" s="411">
        <v>0</v>
      </c>
      <c r="L67" s="411">
        <v>0</v>
      </c>
      <c r="M67" s="411">
        <v>0</v>
      </c>
      <c r="N67" s="411">
        <v>0</v>
      </c>
      <c r="O67" s="411">
        <v>0</v>
      </c>
      <c r="P67" s="411">
        <v>0</v>
      </c>
      <c r="Q67" s="411">
        <v>0</v>
      </c>
      <c r="R67" s="411">
        <v>0</v>
      </c>
      <c r="S67" s="411">
        <v>0</v>
      </c>
      <c r="T67" s="411">
        <v>0</v>
      </c>
      <c r="U67" s="411">
        <v>0</v>
      </c>
      <c r="V67" s="411">
        <v>0</v>
      </c>
    </row>
    <row r="68" spans="1:22" x14ac:dyDescent="0.25">
      <c r="A68" s="411" t="s">
        <v>108</v>
      </c>
      <c r="B68" s="411" t="s">
        <v>41</v>
      </c>
      <c r="C68" s="411"/>
      <c r="D68" s="413" t="s">
        <v>648</v>
      </c>
      <c r="E68" s="411">
        <v>8</v>
      </c>
      <c r="F68" s="411">
        <v>8</v>
      </c>
      <c r="G68" s="411">
        <v>8</v>
      </c>
      <c r="H68" s="411">
        <v>8</v>
      </c>
      <c r="I68" s="411">
        <v>8</v>
      </c>
      <c r="J68" s="411">
        <v>8</v>
      </c>
      <c r="K68" s="411">
        <v>8</v>
      </c>
      <c r="L68" s="411">
        <v>8</v>
      </c>
      <c r="M68" s="411">
        <v>8</v>
      </c>
      <c r="N68" s="411">
        <v>8</v>
      </c>
      <c r="O68" s="411">
        <v>8</v>
      </c>
      <c r="P68" s="411">
        <v>8</v>
      </c>
      <c r="Q68" s="411">
        <v>8</v>
      </c>
      <c r="R68" s="411">
        <v>8</v>
      </c>
      <c r="S68" s="411">
        <v>8</v>
      </c>
      <c r="T68" s="411">
        <v>8</v>
      </c>
      <c r="U68" s="411">
        <v>8</v>
      </c>
      <c r="V68" s="411">
        <v>8</v>
      </c>
    </row>
    <row r="69" spans="1:22" x14ac:dyDescent="0.25">
      <c r="A69" s="411" t="s">
        <v>108</v>
      </c>
      <c r="B69" s="411" t="s">
        <v>41</v>
      </c>
      <c r="C69" s="411"/>
      <c r="D69" s="413" t="s">
        <v>649</v>
      </c>
      <c r="E69" s="411">
        <v>0</v>
      </c>
      <c r="F69" s="411">
        <v>0</v>
      </c>
      <c r="G69" s="411">
        <v>0</v>
      </c>
      <c r="H69" s="411">
        <v>0</v>
      </c>
      <c r="I69" s="411">
        <v>0</v>
      </c>
      <c r="J69" s="411">
        <v>0</v>
      </c>
      <c r="K69" s="411">
        <v>0</v>
      </c>
      <c r="L69" s="411">
        <v>0</v>
      </c>
      <c r="M69" s="411">
        <v>0</v>
      </c>
      <c r="N69" s="411">
        <v>0</v>
      </c>
      <c r="O69" s="411">
        <v>0</v>
      </c>
      <c r="P69" s="411">
        <v>0</v>
      </c>
      <c r="Q69" s="411">
        <v>0</v>
      </c>
      <c r="R69" s="411">
        <v>0</v>
      </c>
      <c r="S69" s="411">
        <v>0</v>
      </c>
      <c r="T69" s="411">
        <v>0</v>
      </c>
      <c r="U69" s="411">
        <v>0</v>
      </c>
      <c r="V69" s="411">
        <v>0</v>
      </c>
    </row>
    <row r="70" spans="1:22" x14ac:dyDescent="0.25">
      <c r="A70" s="411" t="s">
        <v>108</v>
      </c>
      <c r="B70" s="411" t="s">
        <v>41</v>
      </c>
      <c r="C70" s="411"/>
      <c r="D70" s="413" t="s">
        <v>650</v>
      </c>
      <c r="E70" s="411">
        <v>0</v>
      </c>
      <c r="F70" s="411">
        <v>0</v>
      </c>
      <c r="G70" s="411">
        <v>0</v>
      </c>
      <c r="H70" s="411">
        <v>0</v>
      </c>
      <c r="I70" s="411">
        <v>0</v>
      </c>
      <c r="J70" s="411">
        <v>0</v>
      </c>
      <c r="K70" s="411">
        <v>0</v>
      </c>
      <c r="L70" s="411">
        <v>0</v>
      </c>
      <c r="M70" s="411">
        <v>0</v>
      </c>
      <c r="N70" s="411">
        <v>0</v>
      </c>
      <c r="O70" s="411">
        <v>0</v>
      </c>
      <c r="P70" s="411">
        <v>0</v>
      </c>
      <c r="Q70" s="411">
        <v>0</v>
      </c>
      <c r="R70" s="411">
        <v>0</v>
      </c>
      <c r="S70" s="411">
        <v>0</v>
      </c>
      <c r="T70" s="411">
        <v>0</v>
      </c>
      <c r="U70" s="411">
        <v>0</v>
      </c>
      <c r="V70" s="411">
        <v>0</v>
      </c>
    </row>
    <row r="71" spans="1:22" x14ac:dyDescent="0.25">
      <c r="A71" s="411" t="s">
        <v>108</v>
      </c>
      <c r="B71" s="411" t="s">
        <v>41</v>
      </c>
      <c r="C71" s="411" t="s">
        <v>154</v>
      </c>
      <c r="D71" s="412" t="s">
        <v>651</v>
      </c>
      <c r="E71" s="411">
        <v>0</v>
      </c>
      <c r="F71" s="411">
        <v>0</v>
      </c>
      <c r="G71" s="411">
        <v>0</v>
      </c>
      <c r="H71" s="411">
        <v>0</v>
      </c>
      <c r="I71" s="411">
        <v>0</v>
      </c>
      <c r="J71" s="411">
        <v>0</v>
      </c>
      <c r="K71" s="411">
        <v>0</v>
      </c>
      <c r="L71" s="411">
        <v>0</v>
      </c>
      <c r="M71" s="411">
        <v>0</v>
      </c>
      <c r="N71" s="411">
        <v>0</v>
      </c>
      <c r="O71" s="411">
        <v>0</v>
      </c>
      <c r="P71" s="411">
        <v>0</v>
      </c>
      <c r="Q71" s="411">
        <v>0</v>
      </c>
      <c r="R71" s="411">
        <v>0</v>
      </c>
      <c r="S71" s="411">
        <v>0</v>
      </c>
      <c r="T71" s="411">
        <v>0</v>
      </c>
      <c r="U71" s="411">
        <v>0</v>
      </c>
      <c r="V71" s="411">
        <v>0</v>
      </c>
    </row>
    <row r="72" spans="1:22" x14ac:dyDescent="0.25">
      <c r="A72" s="411" t="s">
        <v>108</v>
      </c>
      <c r="B72" s="411" t="s">
        <v>41</v>
      </c>
      <c r="C72" s="411"/>
      <c r="D72" s="412" t="s">
        <v>652</v>
      </c>
    </row>
    <row r="73" spans="1:22" x14ac:dyDescent="0.25">
      <c r="A73" s="411" t="s">
        <v>108</v>
      </c>
      <c r="B73" s="411" t="s">
        <v>41</v>
      </c>
      <c r="C73" s="411"/>
      <c r="D73" s="413" t="s">
        <v>653</v>
      </c>
      <c r="E73" s="411">
        <v>35015.36664</v>
      </c>
      <c r="F73" s="411">
        <v>48105.333530000004</v>
      </c>
      <c r="G73" s="411">
        <v>65847.829060000004</v>
      </c>
      <c r="H73" s="411">
        <v>67015.759239999999</v>
      </c>
      <c r="I73" s="411">
        <v>70882.166679999995</v>
      </c>
      <c r="J73" s="411">
        <v>55405.035810000001</v>
      </c>
      <c r="K73" s="411">
        <v>26731.062279999998</v>
      </c>
      <c r="L73" s="411">
        <v>34379.91966</v>
      </c>
      <c r="M73" s="411">
        <v>34702.350659999996</v>
      </c>
      <c r="N73" s="411">
        <v>47677.804020000003</v>
      </c>
      <c r="O73" s="411">
        <v>65031.043729999998</v>
      </c>
      <c r="P73" s="411">
        <v>66680.623130000007</v>
      </c>
      <c r="Q73" s="411">
        <v>71477.742079999996</v>
      </c>
      <c r="R73" s="411">
        <v>55667.896890000004</v>
      </c>
      <c r="S73" s="411">
        <v>44910.96056</v>
      </c>
      <c r="T73" s="411">
        <v>27216.107380000001</v>
      </c>
      <c r="U73" s="411">
        <v>29021.848569999998</v>
      </c>
      <c r="V73" s="411">
        <v>30249.79163</v>
      </c>
    </row>
    <row r="74" spans="1:22" x14ac:dyDescent="0.25">
      <c r="A74" s="411" t="s">
        <v>108</v>
      </c>
      <c r="B74" s="411" t="s">
        <v>41</v>
      </c>
      <c r="C74" s="411"/>
      <c r="D74" s="413" t="s">
        <v>654</v>
      </c>
      <c r="E74" s="411">
        <v>0</v>
      </c>
      <c r="F74" s="411">
        <v>0</v>
      </c>
      <c r="G74" s="411">
        <v>0</v>
      </c>
      <c r="H74" s="411">
        <v>0</v>
      </c>
      <c r="I74" s="411">
        <v>0</v>
      </c>
      <c r="J74" s="411">
        <v>0</v>
      </c>
      <c r="K74" s="411">
        <v>0</v>
      </c>
      <c r="L74" s="411">
        <v>0</v>
      </c>
      <c r="M74" s="411">
        <v>0</v>
      </c>
      <c r="N74" s="411">
        <v>0</v>
      </c>
      <c r="O74" s="411">
        <v>0</v>
      </c>
      <c r="P74" s="411">
        <v>0</v>
      </c>
      <c r="Q74" s="411">
        <v>0</v>
      </c>
      <c r="R74" s="411">
        <v>0</v>
      </c>
      <c r="S74" s="411">
        <v>0</v>
      </c>
      <c r="T74" s="411">
        <v>0</v>
      </c>
      <c r="U74" s="411">
        <v>0</v>
      </c>
      <c r="V74" s="411">
        <v>0</v>
      </c>
    </row>
    <row r="75" spans="1:22" x14ac:dyDescent="0.25">
      <c r="A75" s="411" t="s">
        <v>108</v>
      </c>
      <c r="B75" s="411" t="s">
        <v>41</v>
      </c>
      <c r="C75" s="415"/>
      <c r="D75" s="414" t="s">
        <v>655</v>
      </c>
      <c r="E75" s="415">
        <v>35.015366640000003</v>
      </c>
      <c r="F75" s="415">
        <v>48.105333530000003</v>
      </c>
      <c r="G75" s="415">
        <v>65.847829059999995</v>
      </c>
      <c r="H75" s="415">
        <v>67.015759239999994</v>
      </c>
      <c r="I75" s="415">
        <v>70.882166679999997</v>
      </c>
      <c r="J75" s="415">
        <v>55.405035810000001</v>
      </c>
      <c r="K75" s="415">
        <v>26.73106228</v>
      </c>
      <c r="L75" s="415">
        <v>34.379919659999999</v>
      </c>
      <c r="M75" s="415">
        <v>34.70235066</v>
      </c>
      <c r="N75" s="415">
        <v>47.677804020000004</v>
      </c>
      <c r="O75" s="415">
        <v>65.031043729999993</v>
      </c>
      <c r="P75" s="415">
        <v>66.680623130000001</v>
      </c>
      <c r="Q75" s="415">
        <v>71.477742079999999</v>
      </c>
      <c r="R75" s="415">
        <v>55.667896890000002</v>
      </c>
      <c r="S75" s="415">
        <v>44.910960559999999</v>
      </c>
      <c r="T75" s="415">
        <v>27.21610738</v>
      </c>
      <c r="U75" s="415">
        <v>29.02184857</v>
      </c>
      <c r="V75" s="415">
        <v>30.249791630000001</v>
      </c>
    </row>
    <row r="76" spans="1:22" x14ac:dyDescent="0.25">
      <c r="A76" s="411" t="s">
        <v>108</v>
      </c>
      <c r="B76" s="411" t="s">
        <v>41</v>
      </c>
      <c r="C76" s="415"/>
      <c r="D76" s="414" t="s">
        <v>656</v>
      </c>
      <c r="E76" s="415">
        <v>0.43020000000000003</v>
      </c>
      <c r="F76" s="415">
        <v>0.43020000000000003</v>
      </c>
      <c r="G76" s="415">
        <v>0.43020000000000003</v>
      </c>
      <c r="H76" s="415">
        <v>0.43020000000000003</v>
      </c>
      <c r="I76" s="415">
        <v>0.43020000000000003</v>
      </c>
      <c r="J76" s="415">
        <v>0.43020000000000003</v>
      </c>
      <c r="K76" s="415">
        <v>0.43020000000000003</v>
      </c>
      <c r="L76" s="415">
        <v>0.43020000000000003</v>
      </c>
      <c r="M76" s="415">
        <v>0.43020000000000003</v>
      </c>
      <c r="N76" s="415">
        <v>0.43020000000000003</v>
      </c>
      <c r="O76" s="415">
        <v>0.43020000000000003</v>
      </c>
      <c r="P76" s="415">
        <v>0.43020000000000003</v>
      </c>
      <c r="Q76" s="415">
        <v>0.43020000000000003</v>
      </c>
      <c r="R76" s="415">
        <v>0.43020000000000003</v>
      </c>
      <c r="S76" s="415">
        <v>0.43020000000000003</v>
      </c>
      <c r="T76" s="415">
        <v>0.43020000000000003</v>
      </c>
      <c r="U76" s="415">
        <v>0.43020000000000003</v>
      </c>
      <c r="V76" s="415">
        <v>0.43020000000000003</v>
      </c>
    </row>
    <row r="77" spans="1:22" x14ac:dyDescent="0.25">
      <c r="A77" s="411" t="s">
        <v>108</v>
      </c>
      <c r="B77" s="411" t="s">
        <v>41</v>
      </c>
      <c r="C77" s="415"/>
      <c r="D77" s="414" t="s">
        <v>657</v>
      </c>
      <c r="E77" s="415">
        <v>0.43020000000000003</v>
      </c>
      <c r="F77" s="415">
        <v>0.43020000000000003</v>
      </c>
      <c r="G77" s="415">
        <v>0.43020000000000003</v>
      </c>
      <c r="H77" s="415">
        <v>0.43020000000000003</v>
      </c>
      <c r="I77" s="415">
        <v>0.43020000000000003</v>
      </c>
      <c r="J77" s="415">
        <v>0.43020000000000003</v>
      </c>
      <c r="K77" s="415">
        <v>0.43020000000000003</v>
      </c>
      <c r="L77" s="415">
        <v>0.43020000000000003</v>
      </c>
      <c r="M77" s="415">
        <v>0.43020000000000003</v>
      </c>
      <c r="N77" s="415">
        <v>0.43020000000000003</v>
      </c>
      <c r="O77" s="415">
        <v>0.43020000000000003</v>
      </c>
      <c r="P77" s="415">
        <v>0.43020000000000003</v>
      </c>
      <c r="Q77" s="415">
        <v>0.43020000000000003</v>
      </c>
      <c r="R77" s="415">
        <v>0.43020000000000003</v>
      </c>
      <c r="S77" s="415">
        <v>0.43020000000000003</v>
      </c>
      <c r="T77" s="415">
        <v>0.43020000000000003</v>
      </c>
      <c r="U77" s="415">
        <v>0.43020000000000003</v>
      </c>
      <c r="V77" s="415">
        <v>0.43020000000000003</v>
      </c>
    </row>
    <row r="78" spans="1:22" x14ac:dyDescent="0.25">
      <c r="A78" s="411" t="s">
        <v>108</v>
      </c>
      <c r="B78" s="411" t="s">
        <v>41</v>
      </c>
      <c r="C78" s="415"/>
      <c r="D78" s="414" t="s">
        <v>658</v>
      </c>
      <c r="E78" s="415">
        <v>0</v>
      </c>
      <c r="F78" s="415">
        <v>0</v>
      </c>
      <c r="G78" s="415">
        <v>0</v>
      </c>
      <c r="H78" s="415">
        <v>0</v>
      </c>
      <c r="I78" s="415">
        <v>0</v>
      </c>
      <c r="J78" s="415">
        <v>0</v>
      </c>
      <c r="K78" s="415">
        <v>0</v>
      </c>
      <c r="L78" s="415">
        <v>0</v>
      </c>
      <c r="M78" s="415">
        <v>0</v>
      </c>
      <c r="N78" s="415">
        <v>0</v>
      </c>
      <c r="O78" s="415">
        <v>0</v>
      </c>
      <c r="P78" s="415">
        <v>0</v>
      </c>
      <c r="Q78" s="415">
        <v>0</v>
      </c>
      <c r="R78" s="415">
        <v>0</v>
      </c>
      <c r="S78" s="415">
        <v>0</v>
      </c>
      <c r="T78" s="415">
        <v>0</v>
      </c>
      <c r="U78" s="415">
        <v>0</v>
      </c>
      <c r="V78" s="415">
        <v>0</v>
      </c>
    </row>
    <row r="79" spans="1:22" x14ac:dyDescent="0.25">
      <c r="A79" s="411" t="s">
        <v>108</v>
      </c>
      <c r="B79" s="411" t="s">
        <v>41</v>
      </c>
      <c r="C79" s="411" t="s">
        <v>436</v>
      </c>
      <c r="D79" s="412" t="s">
        <v>659</v>
      </c>
      <c r="E79" s="411">
        <v>15.063610728527999</v>
      </c>
      <c r="F79" s="411">
        <v>20.694914484605999</v>
      </c>
      <c r="G79" s="411">
        <v>28.327736061612001</v>
      </c>
      <c r="H79" s="411">
        <v>28.830179625048</v>
      </c>
      <c r="I79" s="411">
        <v>30.493508105736002</v>
      </c>
      <c r="J79" s="411">
        <v>23.835246405462001</v>
      </c>
      <c r="K79" s="411">
        <v>11.499702992855999</v>
      </c>
      <c r="L79" s="411">
        <v>14.790241437732</v>
      </c>
      <c r="M79" s="411">
        <v>14.928951253931899</v>
      </c>
      <c r="N79" s="411">
        <v>20.510991289404</v>
      </c>
      <c r="O79" s="411">
        <v>27.976355012646</v>
      </c>
      <c r="P79" s="411">
        <v>28.686004070526</v>
      </c>
      <c r="Q79" s="411">
        <v>30.749724642815998</v>
      </c>
      <c r="R79" s="411">
        <v>23.948329242078</v>
      </c>
      <c r="S79" s="411">
        <v>19.320695232912001</v>
      </c>
      <c r="T79" s="411">
        <v>11.708369394876</v>
      </c>
      <c r="U79" s="411">
        <v>12.485199254814001</v>
      </c>
      <c r="V79" s="411">
        <v>13.013460359226</v>
      </c>
    </row>
    <row r="80" spans="1:22" x14ac:dyDescent="0.25">
      <c r="A80" s="411" t="s">
        <v>108</v>
      </c>
      <c r="B80" s="411" t="s">
        <v>41</v>
      </c>
      <c r="C80" s="411"/>
      <c r="D80" s="412" t="s">
        <v>660</v>
      </c>
    </row>
    <row r="81" spans="1:22" x14ac:dyDescent="0.25">
      <c r="A81" s="411" t="s">
        <v>108</v>
      </c>
      <c r="B81" s="411" t="s">
        <v>41</v>
      </c>
      <c r="C81" s="411"/>
      <c r="D81" s="413" t="s">
        <v>678</v>
      </c>
      <c r="E81" s="411">
        <v>550</v>
      </c>
      <c r="F81" s="411">
        <v>550</v>
      </c>
      <c r="G81" s="411">
        <v>550</v>
      </c>
      <c r="H81" s="411">
        <v>550</v>
      </c>
      <c r="I81" s="411">
        <v>550</v>
      </c>
      <c r="J81" s="411">
        <v>550</v>
      </c>
      <c r="K81" s="411">
        <v>550</v>
      </c>
      <c r="L81" s="411">
        <v>550</v>
      </c>
      <c r="M81" s="411">
        <v>550</v>
      </c>
      <c r="N81" s="411">
        <v>550</v>
      </c>
      <c r="O81" s="411">
        <v>550</v>
      </c>
      <c r="P81" s="411">
        <v>550</v>
      </c>
      <c r="Q81" s="411">
        <v>550</v>
      </c>
      <c r="R81" s="411">
        <v>550</v>
      </c>
      <c r="S81" s="411">
        <v>550</v>
      </c>
      <c r="T81" s="411">
        <v>550</v>
      </c>
      <c r="U81" s="411">
        <v>550</v>
      </c>
      <c r="V81" s="411">
        <v>550</v>
      </c>
    </row>
    <row r="82" spans="1:22" x14ac:dyDescent="0.25">
      <c r="A82" s="411" t="s">
        <v>108</v>
      </c>
      <c r="B82" s="411" t="s">
        <v>41</v>
      </c>
      <c r="C82" s="411" t="s">
        <v>535</v>
      </c>
      <c r="D82" s="417" t="s">
        <v>679</v>
      </c>
      <c r="E82" s="415">
        <v>4.4000000000000004</v>
      </c>
      <c r="F82" s="415">
        <v>4.4000000000000004</v>
      </c>
      <c r="G82" s="415">
        <v>4.4000000000000004</v>
      </c>
      <c r="H82" s="415">
        <v>4.4000000000000004</v>
      </c>
      <c r="I82" s="415">
        <v>4.4000000000000004</v>
      </c>
      <c r="J82" s="415">
        <v>4.4000000000000004</v>
      </c>
      <c r="K82" s="415">
        <v>4.4000000000000004</v>
      </c>
      <c r="L82" s="415">
        <v>4.4000000000000004</v>
      </c>
      <c r="M82" s="415">
        <v>4.4000000000000004</v>
      </c>
      <c r="N82" s="415">
        <v>4.4000000000000004</v>
      </c>
      <c r="O82" s="415">
        <v>4.4000000000000004</v>
      </c>
      <c r="P82" s="415">
        <v>4.4000000000000004</v>
      </c>
      <c r="Q82" s="415">
        <v>4.4000000000000004</v>
      </c>
      <c r="R82" s="415">
        <v>4.4000000000000004</v>
      </c>
      <c r="S82" s="415">
        <v>4.4000000000000004</v>
      </c>
      <c r="T82" s="415">
        <v>4.4000000000000004</v>
      </c>
      <c r="U82" s="415">
        <v>4.4000000000000004</v>
      </c>
      <c r="V82" s="415">
        <v>4.4000000000000004</v>
      </c>
    </row>
    <row r="83" spans="1:22" x14ac:dyDescent="0.25">
      <c r="A83" s="411" t="s">
        <v>108</v>
      </c>
      <c r="B83" s="411" t="s">
        <v>41</v>
      </c>
      <c r="C83" s="411"/>
      <c r="D83" s="412" t="s">
        <v>661</v>
      </c>
    </row>
    <row r="84" spans="1:22" x14ac:dyDescent="0.25">
      <c r="A84" s="411" t="s">
        <v>108</v>
      </c>
      <c r="B84" s="411" t="s">
        <v>41</v>
      </c>
      <c r="C84" s="415"/>
      <c r="D84" s="412" t="s">
        <v>662</v>
      </c>
      <c r="E84" s="411">
        <v>19.463610728528</v>
      </c>
      <c r="F84" s="411">
        <v>25.094914484606001</v>
      </c>
      <c r="G84" s="411">
        <v>32.727736061611999</v>
      </c>
      <c r="H84" s="411">
        <v>33.230179625048002</v>
      </c>
      <c r="I84" s="411">
        <v>34.893508105735997</v>
      </c>
      <c r="J84" s="411">
        <v>28.235246405462</v>
      </c>
      <c r="K84" s="411">
        <v>15.899702992856</v>
      </c>
      <c r="L84" s="411">
        <v>19.190241437731999</v>
      </c>
      <c r="M84" s="411">
        <v>19.328951253931901</v>
      </c>
      <c r="N84" s="411">
        <v>24.910991289403999</v>
      </c>
      <c r="O84" s="411">
        <v>32.376355012646002</v>
      </c>
      <c r="P84" s="411">
        <v>33.086004070526002</v>
      </c>
      <c r="Q84" s="411">
        <v>35.149724642815997</v>
      </c>
      <c r="R84" s="411">
        <v>28.348329242078002</v>
      </c>
      <c r="S84" s="411">
        <v>23.720695232912</v>
      </c>
      <c r="T84" s="411">
        <v>16.108369394876</v>
      </c>
      <c r="U84" s="411">
        <v>16.885199254814001</v>
      </c>
      <c r="V84" s="411">
        <v>17.413460359226001</v>
      </c>
    </row>
    <row r="85" spans="1:22" x14ac:dyDescent="0.25">
      <c r="A85" s="411" t="s">
        <v>108</v>
      </c>
      <c r="B85" s="411" t="s">
        <v>41</v>
      </c>
      <c r="C85" s="411"/>
      <c r="D85" s="412" t="s">
        <v>663</v>
      </c>
    </row>
    <row r="86" spans="1:22" x14ac:dyDescent="0.25">
      <c r="A86" s="411" t="s">
        <v>108</v>
      </c>
      <c r="B86" s="411" t="s">
        <v>41</v>
      </c>
      <c r="C86" s="411"/>
      <c r="D86" s="414" t="s">
        <v>664</v>
      </c>
      <c r="E86" s="415">
        <v>0</v>
      </c>
      <c r="F86" s="415">
        <v>0</v>
      </c>
      <c r="G86" s="415">
        <v>0</v>
      </c>
      <c r="H86" s="415">
        <v>0</v>
      </c>
      <c r="I86" s="415">
        <v>0</v>
      </c>
      <c r="J86" s="415">
        <v>0</v>
      </c>
      <c r="K86" s="415">
        <v>0</v>
      </c>
      <c r="L86" s="415">
        <v>0</v>
      </c>
      <c r="M86" s="415">
        <v>0</v>
      </c>
      <c r="N86" s="415">
        <v>0</v>
      </c>
      <c r="O86" s="415">
        <v>0</v>
      </c>
      <c r="P86" s="415">
        <v>0</v>
      </c>
      <c r="Q86" s="415">
        <v>0</v>
      </c>
      <c r="R86" s="415">
        <v>0</v>
      </c>
      <c r="S86" s="415">
        <v>0</v>
      </c>
      <c r="T86" s="415">
        <v>0</v>
      </c>
      <c r="U86" s="415">
        <v>0</v>
      </c>
      <c r="V86" s="415">
        <v>0</v>
      </c>
    </row>
    <row r="87" spans="1:22" x14ac:dyDescent="0.25">
      <c r="A87" s="411" t="s">
        <v>108</v>
      </c>
      <c r="B87" s="411" t="s">
        <v>41</v>
      </c>
      <c r="C87" s="415" t="s">
        <v>178</v>
      </c>
      <c r="D87" s="413" t="s">
        <v>665</v>
      </c>
      <c r="E87" s="411">
        <v>0</v>
      </c>
      <c r="F87" s="411">
        <v>0</v>
      </c>
      <c r="G87" s="411">
        <v>0</v>
      </c>
      <c r="H87" s="411">
        <v>0</v>
      </c>
      <c r="I87" s="411">
        <v>0</v>
      </c>
      <c r="J87" s="411">
        <v>0</v>
      </c>
      <c r="K87" s="411">
        <v>0</v>
      </c>
      <c r="L87" s="411">
        <v>0</v>
      </c>
      <c r="M87" s="411">
        <v>0</v>
      </c>
      <c r="N87" s="411">
        <v>0</v>
      </c>
      <c r="O87" s="411">
        <v>0</v>
      </c>
      <c r="P87" s="411">
        <v>0</v>
      </c>
      <c r="Q87" s="411">
        <v>0</v>
      </c>
      <c r="R87" s="411">
        <v>0</v>
      </c>
      <c r="S87" s="411">
        <v>0</v>
      </c>
      <c r="T87" s="411">
        <v>0</v>
      </c>
      <c r="U87" s="411">
        <v>0</v>
      </c>
      <c r="V87" s="411">
        <v>0</v>
      </c>
    </row>
    <row r="88" spans="1:22" x14ac:dyDescent="0.25">
      <c r="A88" s="411" t="s">
        <v>108</v>
      </c>
      <c r="B88" s="411" t="s">
        <v>41</v>
      </c>
      <c r="C88" s="411"/>
      <c r="D88" s="412" t="s">
        <v>666</v>
      </c>
    </row>
    <row r="89" spans="1:22" x14ac:dyDescent="0.25">
      <c r="A89" s="411" t="s">
        <v>108</v>
      </c>
      <c r="B89" s="411" t="s">
        <v>41</v>
      </c>
      <c r="C89" s="411"/>
      <c r="D89" s="414" t="s">
        <v>667</v>
      </c>
      <c r="E89" s="415">
        <v>0.34906843462946002</v>
      </c>
      <c r="F89" s="415">
        <v>0.16939007523933</v>
      </c>
      <c r="G89" s="415">
        <v>9.4024398016510996E-2</v>
      </c>
      <c r="H89" s="415">
        <v>7.9005885786712304E-2</v>
      </c>
      <c r="I89" s="415">
        <v>4.2818241030573301E-2</v>
      </c>
      <c r="J89" s="415">
        <v>5.3348528484577801E-2</v>
      </c>
      <c r="K89" s="415">
        <v>0.24690512534735301</v>
      </c>
      <c r="L89" s="415">
        <v>0.286805863570613</v>
      </c>
      <c r="M89" s="415">
        <v>0.2714755224323</v>
      </c>
      <c r="N89" s="415">
        <v>0.23977615362243901</v>
      </c>
      <c r="O89" s="415">
        <v>0.112823983088882</v>
      </c>
      <c r="P89" s="415">
        <v>3.1676324500992899E-2</v>
      </c>
      <c r="Q89" s="415">
        <v>5.1767532114618299E-2</v>
      </c>
      <c r="R89" s="415">
        <v>6.4560825100963504E-2</v>
      </c>
      <c r="S89" s="415">
        <v>0.10990553607190399</v>
      </c>
      <c r="T89" s="415">
        <v>0.18637651503338701</v>
      </c>
      <c r="U89" s="415">
        <v>0.28860955010716799</v>
      </c>
      <c r="V89" s="415">
        <v>0.33287319112658798</v>
      </c>
    </row>
    <row r="90" spans="1:22" x14ac:dyDescent="0.25">
      <c r="A90" s="411" t="s">
        <v>108</v>
      </c>
      <c r="B90" s="411" t="s">
        <v>41</v>
      </c>
      <c r="C90" s="415" t="s">
        <v>180</v>
      </c>
      <c r="D90" s="413" t="s">
        <v>668</v>
      </c>
      <c r="E90" s="411">
        <v>12.2227592210014</v>
      </c>
      <c r="F90" s="411">
        <v>8.1485660660597699</v>
      </c>
      <c r="G90" s="411">
        <v>6.1913024880606198</v>
      </c>
      <c r="H90" s="411">
        <v>5.2946394204252503</v>
      </c>
      <c r="I90" s="411">
        <v>3.03504969767351</v>
      </c>
      <c r="J90" s="411">
        <v>2.9557771310988401</v>
      </c>
      <c r="K90" s="411">
        <v>6.6000362829113097</v>
      </c>
      <c r="L90" s="411">
        <v>9.8603625475746206</v>
      </c>
      <c r="M90" s="411">
        <v>9.4208387750523901</v>
      </c>
      <c r="N90" s="411">
        <v>11.432000461080101</v>
      </c>
      <c r="O90" s="411">
        <v>7.3370613780458598</v>
      </c>
      <c r="P90" s="411">
        <v>2.1121970561942902</v>
      </c>
      <c r="Q90" s="411">
        <v>3.7002263086067999</v>
      </c>
      <c r="R90" s="411">
        <v>3.59396535485376</v>
      </c>
      <c r="S90" s="411">
        <v>4.93596319585094</v>
      </c>
      <c r="T90" s="411">
        <v>5.0724432462588496</v>
      </c>
      <c r="U90" s="411">
        <v>8.3759826590660609</v>
      </c>
      <c r="V90" s="411">
        <v>10.0693446707924</v>
      </c>
    </row>
    <row r="91" spans="1:22" x14ac:dyDescent="0.25">
      <c r="A91" s="411" t="s">
        <v>108</v>
      </c>
      <c r="B91" s="411" t="s">
        <v>41</v>
      </c>
      <c r="C91" s="411"/>
      <c r="D91" s="412" t="s">
        <v>669</v>
      </c>
    </row>
    <row r="92" spans="1:22" x14ac:dyDescent="0.25">
      <c r="A92" s="411" t="s">
        <v>108</v>
      </c>
      <c r="B92" s="411" t="s">
        <v>41</v>
      </c>
      <c r="C92" s="411"/>
      <c r="D92" s="414" t="s">
        <v>670</v>
      </c>
      <c r="E92" s="415">
        <v>0</v>
      </c>
      <c r="F92" s="415">
        <v>0</v>
      </c>
      <c r="G92" s="415">
        <v>0</v>
      </c>
      <c r="H92" s="415">
        <v>0</v>
      </c>
      <c r="I92" s="415">
        <v>0</v>
      </c>
      <c r="J92" s="415">
        <v>0</v>
      </c>
      <c r="K92" s="415">
        <v>0</v>
      </c>
      <c r="L92" s="415">
        <v>0</v>
      </c>
      <c r="M92" s="415">
        <v>0</v>
      </c>
      <c r="N92" s="415">
        <v>0</v>
      </c>
      <c r="O92" s="415">
        <v>0</v>
      </c>
      <c r="P92" s="415">
        <v>0</v>
      </c>
      <c r="Q92" s="415">
        <v>0</v>
      </c>
      <c r="R92" s="415">
        <v>0</v>
      </c>
      <c r="S92" s="415">
        <v>0</v>
      </c>
      <c r="T92" s="415">
        <v>0</v>
      </c>
      <c r="U92" s="415">
        <v>0</v>
      </c>
      <c r="V92" s="415">
        <v>0</v>
      </c>
    </row>
    <row r="93" spans="1:22" x14ac:dyDescent="0.25">
      <c r="A93" s="411" t="s">
        <v>108</v>
      </c>
      <c r="B93" s="411" t="s">
        <v>41</v>
      </c>
      <c r="C93" s="411" t="s">
        <v>424</v>
      </c>
      <c r="D93" s="413" t="s">
        <v>671</v>
      </c>
      <c r="E93" s="411">
        <v>0</v>
      </c>
      <c r="F93" s="411">
        <v>0</v>
      </c>
      <c r="G93" s="411">
        <v>0</v>
      </c>
      <c r="H93" s="411">
        <v>0</v>
      </c>
      <c r="I93" s="411">
        <v>0</v>
      </c>
      <c r="J93" s="411">
        <v>0</v>
      </c>
      <c r="K93" s="411">
        <v>0</v>
      </c>
      <c r="L93" s="411">
        <v>0</v>
      </c>
      <c r="M93" s="411">
        <v>0</v>
      </c>
      <c r="N93" s="411">
        <v>0</v>
      </c>
      <c r="O93" s="411">
        <v>0</v>
      </c>
      <c r="P93" s="411">
        <v>0</v>
      </c>
      <c r="Q93" s="411">
        <v>0</v>
      </c>
      <c r="R93" s="411">
        <v>0</v>
      </c>
      <c r="S93" s="411">
        <v>0</v>
      </c>
      <c r="T93" s="411">
        <v>0</v>
      </c>
      <c r="U93" s="411">
        <v>0</v>
      </c>
      <c r="V93" s="411">
        <v>0</v>
      </c>
    </row>
    <row r="94" spans="1:22" x14ac:dyDescent="0.25">
      <c r="A94" s="411" t="s">
        <v>108</v>
      </c>
      <c r="B94" s="411" t="s">
        <v>41</v>
      </c>
      <c r="C94" s="411"/>
      <c r="D94" s="412" t="s">
        <v>672</v>
      </c>
      <c r="E94" s="411">
        <v>31.6863699495294</v>
      </c>
      <c r="F94" s="411">
        <v>33.243480550665701</v>
      </c>
      <c r="G94" s="411">
        <v>38.919038549672599</v>
      </c>
      <c r="H94" s="411">
        <v>38.524819045473201</v>
      </c>
      <c r="I94" s="411">
        <v>37.928557803409497</v>
      </c>
      <c r="J94" s="411">
        <v>31.191023536560799</v>
      </c>
      <c r="K94" s="411">
        <v>22.4997392757673</v>
      </c>
      <c r="L94" s="411">
        <v>29.050603985306601</v>
      </c>
      <c r="M94" s="411">
        <v>28.7497900289843</v>
      </c>
      <c r="N94" s="411">
        <v>36.342991750484103</v>
      </c>
      <c r="O94" s="411">
        <v>39.713416390691798</v>
      </c>
      <c r="P94" s="411">
        <v>35.198201126720299</v>
      </c>
      <c r="Q94" s="411">
        <v>38.849950951422798</v>
      </c>
      <c r="R94" s="411">
        <v>31.942294596931699</v>
      </c>
      <c r="S94" s="411">
        <v>28.656658428762899</v>
      </c>
      <c r="T94" s="411">
        <v>21.1808126411348</v>
      </c>
      <c r="U94" s="411">
        <v>25.261181913880002</v>
      </c>
      <c r="V94" s="411">
        <v>27.482805030018401</v>
      </c>
    </row>
    <row r="95" spans="1:22" s="84" customFormat="1" x14ac:dyDescent="0.25">
      <c r="A95" s="642" t="s">
        <v>481</v>
      </c>
      <c r="B95" s="642" t="s">
        <v>28</v>
      </c>
      <c r="C95" s="642"/>
      <c r="D95" s="643" t="s">
        <v>680</v>
      </c>
    </row>
    <row r="96" spans="1:22" x14ac:dyDescent="0.25">
      <c r="A96" s="411" t="s">
        <v>481</v>
      </c>
      <c r="B96" s="411" t="s">
        <v>28</v>
      </c>
      <c r="C96" s="411"/>
      <c r="D96" s="412" t="s">
        <v>645</v>
      </c>
    </row>
    <row r="97" spans="1:22" x14ac:dyDescent="0.25">
      <c r="A97" s="411" t="s">
        <v>481</v>
      </c>
      <c r="B97" s="411" t="s">
        <v>28</v>
      </c>
      <c r="C97" s="411"/>
      <c r="D97" s="413" t="s">
        <v>646</v>
      </c>
      <c r="E97" s="411">
        <v>0</v>
      </c>
      <c r="F97" s="411">
        <v>0</v>
      </c>
      <c r="G97" s="411">
        <v>0</v>
      </c>
      <c r="H97" s="411">
        <v>0</v>
      </c>
      <c r="I97" s="411">
        <v>0</v>
      </c>
      <c r="J97" s="411">
        <v>0</v>
      </c>
      <c r="K97" s="411">
        <v>0</v>
      </c>
      <c r="L97" s="411">
        <v>0</v>
      </c>
      <c r="M97" s="411">
        <v>0</v>
      </c>
      <c r="N97" s="411">
        <v>0</v>
      </c>
      <c r="O97" s="411">
        <v>0</v>
      </c>
      <c r="P97" s="411">
        <v>0</v>
      </c>
      <c r="Q97" s="411">
        <v>0</v>
      </c>
      <c r="R97" s="411">
        <v>0</v>
      </c>
      <c r="S97" s="411">
        <v>0</v>
      </c>
      <c r="T97" s="411">
        <v>0</v>
      </c>
      <c r="U97" s="411">
        <v>0</v>
      </c>
      <c r="V97" s="411">
        <v>0</v>
      </c>
    </row>
    <row r="98" spans="1:22" x14ac:dyDescent="0.25">
      <c r="A98" s="411" t="s">
        <v>481</v>
      </c>
      <c r="B98" s="411" t="s">
        <v>28</v>
      </c>
      <c r="C98" s="411"/>
      <c r="D98" s="413" t="s">
        <v>647</v>
      </c>
      <c r="E98" s="411">
        <v>0</v>
      </c>
      <c r="F98" s="411">
        <v>0</v>
      </c>
      <c r="G98" s="411">
        <v>0</v>
      </c>
      <c r="H98" s="411">
        <v>0</v>
      </c>
      <c r="I98" s="411">
        <v>0</v>
      </c>
      <c r="J98" s="411">
        <v>0</v>
      </c>
      <c r="K98" s="411">
        <v>0</v>
      </c>
      <c r="L98" s="411">
        <v>0</v>
      </c>
      <c r="M98" s="411">
        <v>0</v>
      </c>
      <c r="N98" s="411">
        <v>0</v>
      </c>
      <c r="O98" s="411">
        <v>0</v>
      </c>
      <c r="P98" s="411">
        <v>0</v>
      </c>
      <c r="Q98" s="411">
        <v>0</v>
      </c>
      <c r="R98" s="411">
        <v>0</v>
      </c>
      <c r="S98" s="411">
        <v>0</v>
      </c>
      <c r="T98" s="411">
        <v>0</v>
      </c>
      <c r="U98" s="411">
        <v>0</v>
      </c>
      <c r="V98" s="411">
        <v>0</v>
      </c>
    </row>
    <row r="99" spans="1:22" x14ac:dyDescent="0.25">
      <c r="A99" s="411" t="s">
        <v>481</v>
      </c>
      <c r="B99" s="411" t="s">
        <v>28</v>
      </c>
      <c r="C99" s="411"/>
      <c r="D99" s="413" t="s">
        <v>648</v>
      </c>
      <c r="E99" s="411">
        <v>0</v>
      </c>
      <c r="F99" s="411">
        <v>0</v>
      </c>
      <c r="G99" s="411">
        <v>0</v>
      </c>
      <c r="H99" s="411">
        <v>0</v>
      </c>
      <c r="I99" s="411">
        <v>0</v>
      </c>
      <c r="J99" s="411">
        <v>0</v>
      </c>
      <c r="K99" s="411">
        <v>0</v>
      </c>
      <c r="L99" s="411">
        <v>0</v>
      </c>
      <c r="M99" s="411">
        <v>0</v>
      </c>
      <c r="N99" s="411">
        <v>0</v>
      </c>
      <c r="O99" s="411">
        <v>0</v>
      </c>
      <c r="P99" s="411">
        <v>0</v>
      </c>
      <c r="Q99" s="411">
        <v>0</v>
      </c>
      <c r="R99" s="411">
        <v>0</v>
      </c>
      <c r="S99" s="411">
        <v>0</v>
      </c>
      <c r="T99" s="411">
        <v>0</v>
      </c>
      <c r="U99" s="411">
        <v>0</v>
      </c>
      <c r="V99" s="411">
        <v>0</v>
      </c>
    </row>
    <row r="100" spans="1:22" x14ac:dyDescent="0.25">
      <c r="A100" s="411" t="s">
        <v>481</v>
      </c>
      <c r="B100" s="411" t="s">
        <v>28</v>
      </c>
      <c r="C100" s="411"/>
      <c r="D100" s="413" t="s">
        <v>649</v>
      </c>
      <c r="E100" s="411">
        <v>550</v>
      </c>
      <c r="F100" s="411">
        <v>550</v>
      </c>
      <c r="G100" s="411">
        <v>550</v>
      </c>
      <c r="H100" s="411">
        <v>550</v>
      </c>
      <c r="I100" s="411">
        <v>550</v>
      </c>
      <c r="J100" s="411">
        <v>550</v>
      </c>
      <c r="K100" s="411">
        <v>550</v>
      </c>
      <c r="L100" s="411">
        <v>550</v>
      </c>
      <c r="M100" s="411">
        <v>550</v>
      </c>
      <c r="N100" s="411">
        <v>550</v>
      </c>
      <c r="O100" s="411">
        <v>550</v>
      </c>
      <c r="P100" s="411">
        <v>550</v>
      </c>
      <c r="Q100" s="411">
        <v>550</v>
      </c>
      <c r="R100" s="411">
        <v>550</v>
      </c>
      <c r="S100" s="411">
        <v>550</v>
      </c>
      <c r="T100" s="411">
        <v>550</v>
      </c>
      <c r="U100" s="411">
        <v>550</v>
      </c>
      <c r="V100" s="411">
        <v>550</v>
      </c>
    </row>
    <row r="101" spans="1:22" x14ac:dyDescent="0.25">
      <c r="A101" s="411" t="s">
        <v>481</v>
      </c>
      <c r="B101" s="411" t="s">
        <v>28</v>
      </c>
      <c r="C101" s="411"/>
      <c r="D101" s="413" t="s">
        <v>650</v>
      </c>
      <c r="E101" s="411">
        <v>0</v>
      </c>
      <c r="F101" s="411">
        <v>0</v>
      </c>
      <c r="G101" s="411">
        <v>0</v>
      </c>
      <c r="H101" s="411">
        <v>0</v>
      </c>
      <c r="I101" s="411">
        <v>0</v>
      </c>
      <c r="J101" s="411">
        <v>0</v>
      </c>
      <c r="K101" s="411">
        <v>0</v>
      </c>
      <c r="L101" s="411">
        <v>0</v>
      </c>
      <c r="M101" s="411">
        <v>0</v>
      </c>
      <c r="N101" s="411">
        <v>0</v>
      </c>
      <c r="O101" s="411">
        <v>0</v>
      </c>
      <c r="P101" s="411">
        <v>0</v>
      </c>
      <c r="Q101" s="411">
        <v>0</v>
      </c>
      <c r="R101" s="411">
        <v>0</v>
      </c>
      <c r="S101" s="411">
        <v>0</v>
      </c>
      <c r="T101" s="411">
        <v>0</v>
      </c>
      <c r="U101" s="411">
        <v>0</v>
      </c>
      <c r="V101" s="411">
        <v>0</v>
      </c>
    </row>
    <row r="102" spans="1:22" x14ac:dyDescent="0.25">
      <c r="A102" s="411" t="s">
        <v>481</v>
      </c>
      <c r="B102" s="411" t="s">
        <v>28</v>
      </c>
      <c r="C102" s="411" t="s">
        <v>154</v>
      </c>
      <c r="D102" s="412" t="s">
        <v>651</v>
      </c>
      <c r="E102" s="411">
        <v>0</v>
      </c>
      <c r="F102" s="411">
        <v>0</v>
      </c>
      <c r="G102" s="411">
        <v>0</v>
      </c>
      <c r="H102" s="411">
        <v>0</v>
      </c>
      <c r="I102" s="411">
        <v>0</v>
      </c>
      <c r="J102" s="411">
        <v>0</v>
      </c>
      <c r="K102" s="411">
        <v>0</v>
      </c>
      <c r="L102" s="411">
        <v>0</v>
      </c>
      <c r="M102" s="411">
        <v>0</v>
      </c>
      <c r="N102" s="411">
        <v>0</v>
      </c>
      <c r="O102" s="411">
        <v>0</v>
      </c>
      <c r="P102" s="411">
        <v>0</v>
      </c>
      <c r="Q102" s="411">
        <v>0</v>
      </c>
      <c r="R102" s="411">
        <v>0</v>
      </c>
      <c r="S102" s="411">
        <v>0</v>
      </c>
      <c r="T102" s="411">
        <v>0</v>
      </c>
      <c r="U102" s="411">
        <v>0</v>
      </c>
      <c r="V102" s="411">
        <v>0</v>
      </c>
    </row>
    <row r="103" spans="1:22" x14ac:dyDescent="0.25">
      <c r="A103" s="411" t="s">
        <v>481</v>
      </c>
      <c r="B103" s="411" t="s">
        <v>28</v>
      </c>
      <c r="C103" s="411"/>
      <c r="D103" s="412" t="s">
        <v>652</v>
      </c>
    </row>
    <row r="104" spans="1:22" x14ac:dyDescent="0.25">
      <c r="A104" s="411" t="s">
        <v>481</v>
      </c>
      <c r="B104" s="411" t="s">
        <v>28</v>
      </c>
      <c r="C104" s="411"/>
      <c r="D104" s="413" t="s">
        <v>653</v>
      </c>
      <c r="E104" s="411">
        <v>0</v>
      </c>
      <c r="F104" s="411">
        <v>0</v>
      </c>
      <c r="G104" s="411">
        <v>0</v>
      </c>
      <c r="H104" s="411">
        <v>0</v>
      </c>
      <c r="I104" s="411">
        <v>0</v>
      </c>
      <c r="J104" s="411">
        <v>0</v>
      </c>
      <c r="K104" s="411">
        <v>0</v>
      </c>
      <c r="L104" s="411">
        <v>0</v>
      </c>
      <c r="M104" s="411">
        <v>0</v>
      </c>
      <c r="N104" s="411">
        <v>0</v>
      </c>
      <c r="O104" s="411">
        <v>0</v>
      </c>
      <c r="P104" s="411">
        <v>0</v>
      </c>
      <c r="Q104" s="411">
        <v>0</v>
      </c>
      <c r="R104" s="411">
        <v>0</v>
      </c>
      <c r="S104" s="411">
        <v>0</v>
      </c>
      <c r="T104" s="411">
        <v>0</v>
      </c>
      <c r="U104" s="411">
        <v>0</v>
      </c>
      <c r="V104" s="411">
        <v>0</v>
      </c>
    </row>
    <row r="105" spans="1:22" x14ac:dyDescent="0.25">
      <c r="A105" s="411" t="s">
        <v>481</v>
      </c>
      <c r="B105" s="411" t="s">
        <v>28</v>
      </c>
      <c r="C105" s="411"/>
      <c r="D105" s="413" t="s">
        <v>654</v>
      </c>
      <c r="E105" s="411">
        <v>0</v>
      </c>
      <c r="F105" s="411">
        <v>0</v>
      </c>
      <c r="G105" s="411">
        <v>0</v>
      </c>
      <c r="H105" s="411">
        <v>0</v>
      </c>
      <c r="I105" s="411">
        <v>0</v>
      </c>
      <c r="J105" s="411">
        <v>0</v>
      </c>
      <c r="K105" s="411">
        <v>0</v>
      </c>
      <c r="L105" s="411">
        <v>0</v>
      </c>
      <c r="M105" s="411">
        <v>0</v>
      </c>
      <c r="N105" s="411">
        <v>0</v>
      </c>
      <c r="O105" s="411">
        <v>0</v>
      </c>
      <c r="P105" s="411">
        <v>0</v>
      </c>
      <c r="Q105" s="411">
        <v>0</v>
      </c>
      <c r="R105" s="411">
        <v>0</v>
      </c>
      <c r="S105" s="411">
        <v>0</v>
      </c>
      <c r="T105" s="411">
        <v>0</v>
      </c>
      <c r="U105" s="411">
        <v>0</v>
      </c>
      <c r="V105" s="411">
        <v>0</v>
      </c>
    </row>
    <row r="106" spans="1:22" x14ac:dyDescent="0.25">
      <c r="A106" s="411" t="s">
        <v>481</v>
      </c>
      <c r="B106" s="411" t="s">
        <v>28</v>
      </c>
      <c r="C106" s="411"/>
      <c r="D106" s="414" t="s">
        <v>655</v>
      </c>
      <c r="E106" s="415">
        <v>0</v>
      </c>
      <c r="F106" s="415">
        <v>0</v>
      </c>
      <c r="G106" s="415">
        <v>0</v>
      </c>
      <c r="H106" s="415">
        <v>0</v>
      </c>
      <c r="I106" s="415">
        <v>0</v>
      </c>
      <c r="J106" s="415">
        <v>0</v>
      </c>
      <c r="K106" s="415">
        <v>0</v>
      </c>
      <c r="L106" s="415">
        <v>0</v>
      </c>
      <c r="M106" s="415">
        <v>0</v>
      </c>
      <c r="N106" s="415">
        <v>0</v>
      </c>
      <c r="O106" s="415">
        <v>0</v>
      </c>
      <c r="P106" s="415">
        <v>0</v>
      </c>
      <c r="Q106" s="415">
        <v>0</v>
      </c>
      <c r="R106" s="415">
        <v>0</v>
      </c>
      <c r="S106" s="415">
        <v>0</v>
      </c>
      <c r="T106" s="415">
        <v>0</v>
      </c>
      <c r="U106" s="415">
        <v>0</v>
      </c>
      <c r="V106" s="415">
        <v>0</v>
      </c>
    </row>
    <row r="107" spans="1:22" x14ac:dyDescent="0.25">
      <c r="A107" s="411" t="s">
        <v>481</v>
      </c>
      <c r="B107" s="411" t="s">
        <v>28</v>
      </c>
      <c r="C107" s="411"/>
      <c r="D107" s="414" t="s">
        <v>656</v>
      </c>
      <c r="E107" s="415">
        <v>2.1503999999999999</v>
      </c>
      <c r="F107" s="415">
        <v>2.1503999999999999</v>
      </c>
      <c r="G107" s="415">
        <v>2.1503999999999999</v>
      </c>
      <c r="H107" s="415">
        <v>2.1503999999999999</v>
      </c>
      <c r="I107" s="415">
        <v>2.1503999999999999</v>
      </c>
      <c r="J107" s="415">
        <v>2.1503999999999999</v>
      </c>
      <c r="K107" s="415">
        <v>2.1503999999999999</v>
      </c>
      <c r="L107" s="415">
        <v>2.1503999999999999</v>
      </c>
      <c r="M107" s="415">
        <v>2.1503999999999999</v>
      </c>
      <c r="N107" s="415">
        <v>2.1503999999999999</v>
      </c>
      <c r="O107" s="415">
        <v>2.1503999999999999</v>
      </c>
      <c r="P107" s="415">
        <v>2.1503999999999999</v>
      </c>
      <c r="Q107" s="415">
        <v>2.1503999999999999</v>
      </c>
      <c r="R107" s="415">
        <v>2.1503999999999999</v>
      </c>
      <c r="S107" s="415">
        <v>2.1503999999999999</v>
      </c>
      <c r="T107" s="415">
        <v>2.1503999999999999</v>
      </c>
      <c r="U107" s="415">
        <v>2.1503999999999999</v>
      </c>
      <c r="V107" s="415">
        <v>2.1503999999999999</v>
      </c>
    </row>
    <row r="108" spans="1:22" x14ac:dyDescent="0.25">
      <c r="A108" s="411" t="s">
        <v>481</v>
      </c>
      <c r="B108" s="411" t="s">
        <v>28</v>
      </c>
      <c r="C108" s="411"/>
      <c r="D108" s="414" t="s">
        <v>657</v>
      </c>
      <c r="E108" s="415">
        <v>2.1503999999999999</v>
      </c>
      <c r="F108" s="415">
        <v>2.1503999999999999</v>
      </c>
      <c r="G108" s="415">
        <v>2.1503999999999999</v>
      </c>
      <c r="H108" s="415">
        <v>2.1503999999999999</v>
      </c>
      <c r="I108" s="415">
        <v>2.1503999999999999</v>
      </c>
      <c r="J108" s="415">
        <v>2.1503999999999999</v>
      </c>
      <c r="K108" s="415">
        <v>2.1503999999999999</v>
      </c>
      <c r="L108" s="415">
        <v>2.1503999999999999</v>
      </c>
      <c r="M108" s="415">
        <v>2.1503999999999999</v>
      </c>
      <c r="N108" s="415">
        <v>2.1503999999999999</v>
      </c>
      <c r="O108" s="415">
        <v>2.1503999999999999</v>
      </c>
      <c r="P108" s="415">
        <v>2.1503999999999999</v>
      </c>
      <c r="Q108" s="415">
        <v>2.1503999999999999</v>
      </c>
      <c r="R108" s="415">
        <v>2.1503999999999999</v>
      </c>
      <c r="S108" s="415">
        <v>2.1503999999999999</v>
      </c>
      <c r="T108" s="415">
        <v>2.1503999999999999</v>
      </c>
      <c r="U108" s="415">
        <v>2.1503999999999999</v>
      </c>
      <c r="V108" s="415">
        <v>2.1503999999999999</v>
      </c>
    </row>
    <row r="109" spans="1:22" x14ac:dyDescent="0.25">
      <c r="A109" s="411" t="s">
        <v>481</v>
      </c>
      <c r="B109" s="411" t="s">
        <v>28</v>
      </c>
      <c r="C109" s="411"/>
      <c r="D109" s="414" t="s">
        <v>658</v>
      </c>
      <c r="E109" s="415">
        <v>1.6504000000000001</v>
      </c>
      <c r="F109" s="415">
        <v>1.6504000000000001</v>
      </c>
      <c r="G109" s="415">
        <v>2.1503999999999999</v>
      </c>
      <c r="H109" s="415">
        <v>2.1503999999999999</v>
      </c>
      <c r="I109" s="415">
        <v>2.1503999999999999</v>
      </c>
      <c r="J109" s="415">
        <v>2.1503999999999999</v>
      </c>
      <c r="K109" s="415">
        <v>1.6504000000000001</v>
      </c>
      <c r="L109" s="415">
        <v>1.6504000000000001</v>
      </c>
      <c r="M109" s="415">
        <v>1.6504000000000001</v>
      </c>
      <c r="N109" s="415">
        <v>1.6504000000000001</v>
      </c>
      <c r="O109" s="415">
        <v>2.1503999999999999</v>
      </c>
      <c r="P109" s="415">
        <v>2.1503999999999999</v>
      </c>
      <c r="Q109" s="415">
        <v>2.1503999999999999</v>
      </c>
      <c r="R109" s="415">
        <v>2.1503999999999999</v>
      </c>
      <c r="S109" s="415">
        <v>2.1503999999999999</v>
      </c>
      <c r="T109" s="415">
        <v>1.6504000000000001</v>
      </c>
      <c r="U109" s="415">
        <v>1.6504000000000001</v>
      </c>
      <c r="V109" s="415">
        <v>1.6504000000000001</v>
      </c>
    </row>
    <row r="110" spans="1:22" x14ac:dyDescent="0.25">
      <c r="A110" s="411" t="s">
        <v>481</v>
      </c>
      <c r="B110" s="411" t="s">
        <v>28</v>
      </c>
      <c r="C110" s="411" t="s">
        <v>436</v>
      </c>
      <c r="D110" s="412" t="s">
        <v>659</v>
      </c>
      <c r="E110" s="411">
        <v>0</v>
      </c>
      <c r="F110" s="411">
        <v>0</v>
      </c>
      <c r="G110" s="411">
        <v>0</v>
      </c>
      <c r="H110" s="411">
        <v>0</v>
      </c>
      <c r="I110" s="411">
        <v>0</v>
      </c>
      <c r="J110" s="411">
        <v>0</v>
      </c>
      <c r="K110" s="411">
        <v>0</v>
      </c>
      <c r="L110" s="411">
        <v>0</v>
      </c>
      <c r="M110" s="411">
        <v>0</v>
      </c>
      <c r="N110" s="411">
        <v>0</v>
      </c>
      <c r="O110" s="411">
        <v>0</v>
      </c>
      <c r="P110" s="411">
        <v>0</v>
      </c>
      <c r="Q110" s="411">
        <v>0</v>
      </c>
      <c r="R110" s="411">
        <v>0</v>
      </c>
      <c r="S110" s="411">
        <v>0</v>
      </c>
      <c r="T110" s="411">
        <v>0</v>
      </c>
      <c r="U110" s="411">
        <v>0</v>
      </c>
      <c r="V110" s="411">
        <v>0</v>
      </c>
    </row>
    <row r="111" spans="1:22" x14ac:dyDescent="0.25">
      <c r="A111" s="411" t="s">
        <v>481</v>
      </c>
      <c r="B111" s="411" t="s">
        <v>28</v>
      </c>
      <c r="C111" s="411"/>
      <c r="D111" s="412" t="s">
        <v>660</v>
      </c>
    </row>
    <row r="112" spans="1:22" x14ac:dyDescent="0.25">
      <c r="A112" s="411" t="s">
        <v>481</v>
      </c>
      <c r="B112" s="411" t="s">
        <v>28</v>
      </c>
      <c r="C112" s="411"/>
      <c r="D112" s="412" t="s">
        <v>661</v>
      </c>
    </row>
    <row r="113" spans="1:22" x14ac:dyDescent="0.25">
      <c r="A113" s="411" t="s">
        <v>481</v>
      </c>
      <c r="B113" s="411" t="s">
        <v>28</v>
      </c>
      <c r="C113" s="411"/>
      <c r="D113" s="412" t="s">
        <v>662</v>
      </c>
      <c r="E113" s="411">
        <v>0</v>
      </c>
      <c r="F113" s="411">
        <v>0</v>
      </c>
      <c r="G113" s="411">
        <v>0</v>
      </c>
      <c r="H113" s="411">
        <v>0</v>
      </c>
      <c r="I113" s="411">
        <v>0</v>
      </c>
      <c r="J113" s="411">
        <v>0</v>
      </c>
      <c r="K113" s="411">
        <v>0</v>
      </c>
      <c r="L113" s="411">
        <v>0</v>
      </c>
      <c r="M113" s="411">
        <v>0</v>
      </c>
      <c r="N113" s="411">
        <v>0</v>
      </c>
      <c r="O113" s="411">
        <v>0</v>
      </c>
      <c r="P113" s="411">
        <v>0</v>
      </c>
      <c r="Q113" s="411">
        <v>0</v>
      </c>
      <c r="R113" s="411">
        <v>0</v>
      </c>
      <c r="S113" s="411">
        <v>0</v>
      </c>
      <c r="T113" s="411">
        <v>0</v>
      </c>
      <c r="U113" s="411">
        <v>0</v>
      </c>
      <c r="V113" s="411">
        <v>0</v>
      </c>
    </row>
    <row r="114" spans="1:22" x14ac:dyDescent="0.25">
      <c r="A114" s="411" t="s">
        <v>481</v>
      </c>
      <c r="B114" s="411" t="s">
        <v>28</v>
      </c>
      <c r="C114" s="411"/>
      <c r="D114" s="412" t="s">
        <v>663</v>
      </c>
    </row>
    <row r="115" spans="1:22" x14ac:dyDescent="0.25">
      <c r="A115" s="411" t="s">
        <v>481</v>
      </c>
      <c r="B115" s="411" t="s">
        <v>28</v>
      </c>
      <c r="C115" s="411"/>
      <c r="D115" s="414" t="s">
        <v>664</v>
      </c>
      <c r="E115" s="415">
        <v>0</v>
      </c>
      <c r="F115" s="415">
        <v>0</v>
      </c>
      <c r="G115" s="415">
        <v>0</v>
      </c>
      <c r="H115" s="415">
        <v>0</v>
      </c>
      <c r="I115" s="415">
        <v>0</v>
      </c>
      <c r="J115" s="415">
        <v>0</v>
      </c>
      <c r="K115" s="415">
        <v>0</v>
      </c>
      <c r="L115" s="415">
        <v>0</v>
      </c>
      <c r="M115" s="415">
        <v>0</v>
      </c>
      <c r="N115" s="415">
        <v>0</v>
      </c>
      <c r="O115" s="415">
        <v>0</v>
      </c>
      <c r="P115" s="415">
        <v>0</v>
      </c>
      <c r="Q115" s="415">
        <v>0</v>
      </c>
      <c r="R115" s="415">
        <v>0</v>
      </c>
      <c r="S115" s="415">
        <v>0</v>
      </c>
      <c r="T115" s="415">
        <v>0</v>
      </c>
      <c r="U115" s="415">
        <v>0</v>
      </c>
      <c r="V115" s="415">
        <v>0</v>
      </c>
    </row>
    <row r="116" spans="1:22" x14ac:dyDescent="0.25">
      <c r="A116" s="411" t="s">
        <v>481</v>
      </c>
      <c r="B116" s="411" t="s">
        <v>28</v>
      </c>
      <c r="C116" s="411" t="s">
        <v>178</v>
      </c>
      <c r="D116" s="413" t="s">
        <v>665</v>
      </c>
      <c r="E116" s="411">
        <v>0</v>
      </c>
      <c r="F116" s="411">
        <v>0</v>
      </c>
      <c r="G116" s="411">
        <v>0</v>
      </c>
      <c r="H116" s="411">
        <v>0</v>
      </c>
      <c r="I116" s="411">
        <v>0</v>
      </c>
      <c r="J116" s="411">
        <v>0</v>
      </c>
      <c r="K116" s="411">
        <v>0</v>
      </c>
      <c r="L116" s="411">
        <v>0</v>
      </c>
      <c r="M116" s="411">
        <v>0</v>
      </c>
      <c r="N116" s="411">
        <v>0</v>
      </c>
      <c r="O116" s="411">
        <v>0</v>
      </c>
      <c r="P116" s="411">
        <v>0</v>
      </c>
      <c r="Q116" s="411">
        <v>0</v>
      </c>
      <c r="R116" s="411">
        <v>0</v>
      </c>
      <c r="S116" s="411">
        <v>0</v>
      </c>
      <c r="T116" s="411">
        <v>0</v>
      </c>
      <c r="U116" s="411">
        <v>0</v>
      </c>
      <c r="V116" s="411">
        <v>0</v>
      </c>
    </row>
    <row r="117" spans="1:22" x14ac:dyDescent="0.25">
      <c r="A117" s="411" t="s">
        <v>481</v>
      </c>
      <c r="B117" s="411" t="s">
        <v>28</v>
      </c>
      <c r="C117" s="411"/>
      <c r="D117" s="412" t="s">
        <v>666</v>
      </c>
    </row>
    <row r="118" spans="1:22" x14ac:dyDescent="0.25">
      <c r="A118" s="411" t="s">
        <v>481</v>
      </c>
      <c r="B118" s="411" t="s">
        <v>28</v>
      </c>
      <c r="C118" s="411"/>
      <c r="D118" s="414" t="s">
        <v>667</v>
      </c>
      <c r="E118" s="415">
        <v>0.34906843462946002</v>
      </c>
      <c r="F118" s="415">
        <v>0.16939007523933</v>
      </c>
      <c r="G118" s="415">
        <v>9.4024398016510996E-2</v>
      </c>
      <c r="H118" s="415">
        <v>7.9005885786712304E-2</v>
      </c>
      <c r="I118" s="415">
        <v>4.2818241030573301E-2</v>
      </c>
      <c r="J118" s="415">
        <v>5.3348528484577801E-2</v>
      </c>
      <c r="K118" s="415">
        <v>0.24690512534735301</v>
      </c>
      <c r="L118" s="415">
        <v>0.286805863570613</v>
      </c>
      <c r="M118" s="415">
        <v>0.2714755224323</v>
      </c>
      <c r="N118" s="415">
        <v>0.23977615362243901</v>
      </c>
      <c r="O118" s="415">
        <v>0.112823983088882</v>
      </c>
      <c r="P118" s="415">
        <v>3.1676324500992899E-2</v>
      </c>
      <c r="Q118" s="415">
        <v>5.1767532114618299E-2</v>
      </c>
      <c r="R118" s="415">
        <v>6.4560825100963504E-2</v>
      </c>
      <c r="S118" s="415">
        <v>0.10990553607190399</v>
      </c>
      <c r="T118" s="415">
        <v>0.18637651503338701</v>
      </c>
      <c r="U118" s="415">
        <v>0.28860955010716799</v>
      </c>
      <c r="V118" s="415">
        <v>0.33287319112658798</v>
      </c>
    </row>
    <row r="119" spans="1:22" x14ac:dyDescent="0.25">
      <c r="A119" s="411" t="s">
        <v>481</v>
      </c>
      <c r="B119" s="411" t="s">
        <v>28</v>
      </c>
      <c r="C119" s="411" t="s">
        <v>180</v>
      </c>
      <c r="D119" s="413" t="s">
        <v>668</v>
      </c>
      <c r="E119" s="411">
        <v>0</v>
      </c>
      <c r="F119" s="411">
        <v>0</v>
      </c>
      <c r="G119" s="411">
        <v>0</v>
      </c>
      <c r="H119" s="411">
        <v>0</v>
      </c>
      <c r="I119" s="411">
        <v>0</v>
      </c>
      <c r="J119" s="411">
        <v>0</v>
      </c>
      <c r="K119" s="411">
        <v>0</v>
      </c>
      <c r="L119" s="411">
        <v>0</v>
      </c>
      <c r="M119" s="411">
        <v>0</v>
      </c>
      <c r="N119" s="411">
        <v>0</v>
      </c>
      <c r="O119" s="411">
        <v>0</v>
      </c>
      <c r="P119" s="411">
        <v>0</v>
      </c>
      <c r="Q119" s="411">
        <v>0</v>
      </c>
      <c r="R119" s="411">
        <v>0</v>
      </c>
      <c r="S119" s="411">
        <v>0</v>
      </c>
      <c r="T119" s="411">
        <v>0</v>
      </c>
      <c r="U119" s="411">
        <v>0</v>
      </c>
      <c r="V119" s="411">
        <v>0</v>
      </c>
    </row>
    <row r="120" spans="1:22" x14ac:dyDescent="0.25">
      <c r="A120" s="411" t="s">
        <v>481</v>
      </c>
      <c r="B120" s="411" t="s">
        <v>28</v>
      </c>
      <c r="C120" s="411"/>
      <c r="D120" s="412" t="s">
        <v>669</v>
      </c>
    </row>
    <row r="121" spans="1:22" x14ac:dyDescent="0.25">
      <c r="A121" s="411" t="s">
        <v>481</v>
      </c>
      <c r="B121" s="411" t="s">
        <v>28</v>
      </c>
      <c r="C121" s="411"/>
      <c r="D121" s="414" t="s">
        <v>670</v>
      </c>
      <c r="E121" s="415">
        <v>0.289271550125482</v>
      </c>
      <c r="F121" s="415">
        <v>0.289271550125482</v>
      </c>
      <c r="G121" s="415">
        <v>0.289271550125482</v>
      </c>
      <c r="H121" s="415">
        <v>0.289271550125482</v>
      </c>
      <c r="I121" s="415">
        <v>0.289271550125482</v>
      </c>
      <c r="J121" s="415">
        <v>0.289271550125482</v>
      </c>
      <c r="K121" s="415">
        <v>0.289271550125482</v>
      </c>
      <c r="L121" s="415">
        <v>0.289271550125482</v>
      </c>
      <c r="M121" s="415">
        <v>0.289271550125482</v>
      </c>
      <c r="N121" s="415">
        <v>0.289271550125482</v>
      </c>
      <c r="O121" s="415">
        <v>0.289271550125482</v>
      </c>
      <c r="P121" s="415">
        <v>0.289271550125482</v>
      </c>
      <c r="Q121" s="415">
        <v>0.289271550125482</v>
      </c>
      <c r="R121" s="415">
        <v>0.289271550125482</v>
      </c>
      <c r="S121" s="415">
        <v>0.289271550125482</v>
      </c>
      <c r="T121" s="415">
        <v>0.289271550125482</v>
      </c>
      <c r="U121" s="415">
        <v>0.289271550125482</v>
      </c>
      <c r="V121" s="415">
        <v>0.289271550125482</v>
      </c>
    </row>
    <row r="122" spans="1:22" x14ac:dyDescent="0.25">
      <c r="A122" s="411" t="s">
        <v>481</v>
      </c>
      <c r="B122" s="411" t="s">
        <v>28</v>
      </c>
      <c r="C122" s="411" t="s">
        <v>424</v>
      </c>
      <c r="D122" s="413" t="s">
        <v>671</v>
      </c>
      <c r="E122" s="411">
        <v>0</v>
      </c>
      <c r="F122" s="411">
        <v>0</v>
      </c>
      <c r="G122" s="411">
        <v>0</v>
      </c>
      <c r="H122" s="411">
        <v>0</v>
      </c>
      <c r="I122" s="411">
        <v>0</v>
      </c>
      <c r="J122" s="411">
        <v>0</v>
      </c>
      <c r="K122" s="411">
        <v>0</v>
      </c>
      <c r="L122" s="411">
        <v>0</v>
      </c>
      <c r="M122" s="411">
        <v>0</v>
      </c>
      <c r="N122" s="411">
        <v>0</v>
      </c>
      <c r="O122" s="411">
        <v>0</v>
      </c>
      <c r="P122" s="411">
        <v>0</v>
      </c>
      <c r="Q122" s="411">
        <v>0</v>
      </c>
      <c r="R122" s="411">
        <v>0</v>
      </c>
      <c r="S122" s="411">
        <v>0</v>
      </c>
      <c r="T122" s="411">
        <v>0</v>
      </c>
      <c r="U122" s="411">
        <v>0</v>
      </c>
      <c r="V122" s="411">
        <v>0</v>
      </c>
    </row>
    <row r="123" spans="1:22" x14ac:dyDescent="0.25">
      <c r="A123" s="411" t="s">
        <v>481</v>
      </c>
      <c r="B123" s="411" t="s">
        <v>28</v>
      </c>
      <c r="C123" s="411"/>
      <c r="D123" s="412" t="s">
        <v>672</v>
      </c>
      <c r="E123" s="411">
        <v>0</v>
      </c>
      <c r="F123" s="411">
        <v>0</v>
      </c>
      <c r="G123" s="411">
        <v>0</v>
      </c>
      <c r="H123" s="411">
        <v>0</v>
      </c>
      <c r="I123" s="411">
        <v>0</v>
      </c>
      <c r="J123" s="411">
        <v>0</v>
      </c>
      <c r="K123" s="411">
        <v>0</v>
      </c>
      <c r="L123" s="411">
        <v>0</v>
      </c>
      <c r="M123" s="411">
        <v>0</v>
      </c>
      <c r="N123" s="411">
        <v>0</v>
      </c>
      <c r="O123" s="411">
        <v>0</v>
      </c>
      <c r="P123" s="411">
        <v>0</v>
      </c>
      <c r="Q123" s="411">
        <v>0</v>
      </c>
      <c r="R123" s="411">
        <v>0</v>
      </c>
      <c r="S123" s="411">
        <v>0</v>
      </c>
      <c r="T123" s="411">
        <v>0</v>
      </c>
      <c r="U123" s="411">
        <v>0</v>
      </c>
      <c r="V123" s="411">
        <v>0</v>
      </c>
    </row>
    <row r="124" spans="1:22" s="84" customFormat="1" x14ac:dyDescent="0.25">
      <c r="A124" s="642" t="s">
        <v>101</v>
      </c>
      <c r="B124" s="642" t="s">
        <v>13</v>
      </c>
      <c r="C124" s="642"/>
      <c r="D124" s="643" t="s">
        <v>692</v>
      </c>
    </row>
    <row r="125" spans="1:22" x14ac:dyDescent="0.25">
      <c r="A125" s="411" t="s">
        <v>101</v>
      </c>
      <c r="B125" s="411" t="s">
        <v>13</v>
      </c>
      <c r="C125" s="411"/>
      <c r="D125" s="412" t="s">
        <v>645</v>
      </c>
    </row>
    <row r="126" spans="1:22" x14ac:dyDescent="0.25">
      <c r="A126" s="411" t="s">
        <v>101</v>
      </c>
      <c r="B126" s="411" t="s">
        <v>13</v>
      </c>
      <c r="C126" s="411"/>
      <c r="D126" s="413" t="s">
        <v>646</v>
      </c>
      <c r="E126" s="411">
        <v>22712</v>
      </c>
      <c r="F126" s="411">
        <v>22778</v>
      </c>
      <c r="G126" s="411">
        <v>22949</v>
      </c>
      <c r="H126" s="411">
        <v>23127</v>
      </c>
      <c r="I126" s="411">
        <v>23206</v>
      </c>
      <c r="J126" s="411">
        <v>23215</v>
      </c>
      <c r="K126" s="411">
        <v>22617</v>
      </c>
      <c r="L126" s="411">
        <v>22631</v>
      </c>
      <c r="M126" s="411">
        <v>22641</v>
      </c>
      <c r="N126" s="411">
        <v>22709</v>
      </c>
      <c r="O126" s="411">
        <v>22882</v>
      </c>
      <c r="P126" s="411">
        <v>23061</v>
      </c>
      <c r="Q126" s="411">
        <v>23141</v>
      </c>
      <c r="R126" s="411">
        <v>23152</v>
      </c>
      <c r="S126" s="411">
        <v>23136</v>
      </c>
      <c r="T126" s="411">
        <v>23016</v>
      </c>
      <c r="U126" s="411">
        <v>22835</v>
      </c>
      <c r="V126" s="411">
        <v>22681</v>
      </c>
    </row>
    <row r="127" spans="1:22" x14ac:dyDescent="0.25">
      <c r="A127" s="411" t="s">
        <v>101</v>
      </c>
      <c r="B127" s="411" t="s">
        <v>13</v>
      </c>
      <c r="C127" s="411"/>
      <c r="D127" s="413" t="s">
        <v>647</v>
      </c>
      <c r="E127" s="411">
        <v>946</v>
      </c>
      <c r="F127" s="411">
        <v>949</v>
      </c>
      <c r="G127" s="411">
        <v>956</v>
      </c>
      <c r="H127" s="411">
        <v>963</v>
      </c>
      <c r="I127" s="411">
        <v>966</v>
      </c>
      <c r="J127" s="411">
        <v>967</v>
      </c>
      <c r="K127" s="411">
        <v>942</v>
      </c>
      <c r="L127" s="411">
        <v>943</v>
      </c>
      <c r="M127" s="411">
        <v>943</v>
      </c>
      <c r="N127" s="411">
        <v>946</v>
      </c>
      <c r="O127" s="411">
        <v>953</v>
      </c>
      <c r="P127" s="411">
        <v>960</v>
      </c>
      <c r="Q127" s="411">
        <v>964</v>
      </c>
      <c r="R127" s="411">
        <v>964</v>
      </c>
      <c r="S127" s="411">
        <v>964</v>
      </c>
      <c r="T127" s="411">
        <v>959</v>
      </c>
      <c r="U127" s="411">
        <v>951</v>
      </c>
      <c r="V127" s="411">
        <v>945</v>
      </c>
    </row>
    <row r="128" spans="1:22" x14ac:dyDescent="0.25">
      <c r="A128" s="411" t="s">
        <v>101</v>
      </c>
      <c r="B128" s="411" t="s">
        <v>13</v>
      </c>
      <c r="C128" s="411"/>
      <c r="D128" s="413" t="s">
        <v>648</v>
      </c>
      <c r="E128" s="411">
        <v>23658</v>
      </c>
      <c r="F128" s="411">
        <v>23727</v>
      </c>
      <c r="G128" s="411">
        <v>23905</v>
      </c>
      <c r="H128" s="411">
        <v>24090</v>
      </c>
      <c r="I128" s="411">
        <v>24172</v>
      </c>
      <c r="J128" s="411">
        <v>24182</v>
      </c>
      <c r="K128" s="411">
        <v>23559</v>
      </c>
      <c r="L128" s="411">
        <v>23574</v>
      </c>
      <c r="M128" s="411">
        <v>23584</v>
      </c>
      <c r="N128" s="411">
        <v>23655</v>
      </c>
      <c r="O128" s="411">
        <v>23835</v>
      </c>
      <c r="P128" s="411">
        <v>24021</v>
      </c>
      <c r="Q128" s="411">
        <v>24105</v>
      </c>
      <c r="R128" s="411">
        <v>24116</v>
      </c>
      <c r="S128" s="411">
        <v>24100</v>
      </c>
      <c r="T128" s="411">
        <v>23975</v>
      </c>
      <c r="U128" s="411">
        <v>23786</v>
      </c>
      <c r="V128" s="411">
        <v>23626</v>
      </c>
    </row>
    <row r="129" spans="1:22" x14ac:dyDescent="0.25">
      <c r="A129" s="411" t="s">
        <v>101</v>
      </c>
      <c r="B129" s="411" t="s">
        <v>13</v>
      </c>
      <c r="C129" s="411"/>
      <c r="D129" s="413" t="s">
        <v>649</v>
      </c>
      <c r="E129" s="411">
        <v>40</v>
      </c>
      <c r="F129" s="411">
        <v>40</v>
      </c>
      <c r="G129" s="411">
        <v>40</v>
      </c>
      <c r="H129" s="411">
        <v>40</v>
      </c>
      <c r="I129" s="411">
        <v>40</v>
      </c>
      <c r="J129" s="411">
        <v>40</v>
      </c>
      <c r="K129" s="411">
        <v>40</v>
      </c>
      <c r="L129" s="411">
        <v>40</v>
      </c>
      <c r="M129" s="411">
        <v>40</v>
      </c>
      <c r="N129" s="411">
        <v>40</v>
      </c>
      <c r="O129" s="411">
        <v>40</v>
      </c>
      <c r="P129" s="411">
        <v>40</v>
      </c>
      <c r="Q129" s="411">
        <v>40</v>
      </c>
      <c r="R129" s="411">
        <v>40</v>
      </c>
      <c r="S129" s="411">
        <v>40</v>
      </c>
      <c r="T129" s="411">
        <v>40</v>
      </c>
      <c r="U129" s="411">
        <v>40</v>
      </c>
      <c r="V129" s="411">
        <v>40</v>
      </c>
    </row>
    <row r="130" spans="1:22" x14ac:dyDescent="0.25">
      <c r="A130" s="411" t="s">
        <v>101</v>
      </c>
      <c r="B130" s="411" t="s">
        <v>13</v>
      </c>
      <c r="C130" s="411"/>
      <c r="D130" s="413" t="s">
        <v>650</v>
      </c>
      <c r="E130" s="411">
        <v>180</v>
      </c>
      <c r="F130" s="411">
        <v>180</v>
      </c>
      <c r="G130" s="411">
        <v>180</v>
      </c>
      <c r="H130" s="411">
        <v>180</v>
      </c>
      <c r="I130" s="411">
        <v>180</v>
      </c>
      <c r="J130" s="411">
        <v>180</v>
      </c>
      <c r="K130" s="411">
        <v>180</v>
      </c>
      <c r="L130" s="411">
        <v>180</v>
      </c>
      <c r="M130" s="411">
        <v>180</v>
      </c>
      <c r="N130" s="411">
        <v>180</v>
      </c>
      <c r="O130" s="411">
        <v>180</v>
      </c>
      <c r="P130" s="411">
        <v>180</v>
      </c>
      <c r="Q130" s="411">
        <v>180</v>
      </c>
      <c r="R130" s="411">
        <v>180</v>
      </c>
      <c r="S130" s="411">
        <v>180</v>
      </c>
      <c r="T130" s="411">
        <v>180</v>
      </c>
      <c r="U130" s="411">
        <v>180</v>
      </c>
      <c r="V130" s="411">
        <v>180</v>
      </c>
    </row>
    <row r="131" spans="1:22" x14ac:dyDescent="0.25">
      <c r="A131" s="411" t="s">
        <v>101</v>
      </c>
      <c r="B131" s="411" t="s">
        <v>13</v>
      </c>
      <c r="C131" s="411" t="s">
        <v>154</v>
      </c>
      <c r="D131" s="412" t="s">
        <v>651</v>
      </c>
      <c r="E131" s="411">
        <v>1078.76</v>
      </c>
      <c r="F131" s="411">
        <v>1081.94</v>
      </c>
      <c r="G131" s="411">
        <v>1090.04</v>
      </c>
      <c r="H131" s="411">
        <v>1098.42</v>
      </c>
      <c r="I131" s="411">
        <v>1102.1199999999999</v>
      </c>
      <c r="J131" s="411">
        <v>1102.6600000000001</v>
      </c>
      <c r="K131" s="411">
        <v>1074.24</v>
      </c>
      <c r="L131" s="411">
        <v>1074.98</v>
      </c>
      <c r="M131" s="411">
        <v>1075.3800000000001</v>
      </c>
      <c r="N131" s="411">
        <v>1078.6400000000001</v>
      </c>
      <c r="O131" s="411">
        <v>1086.82</v>
      </c>
      <c r="P131" s="411">
        <v>1095.24</v>
      </c>
      <c r="Q131" s="411">
        <v>1099.1600000000001</v>
      </c>
      <c r="R131" s="411">
        <v>1099.5999999999999</v>
      </c>
      <c r="S131" s="411">
        <v>1098.96</v>
      </c>
      <c r="T131" s="411">
        <v>1093.26</v>
      </c>
      <c r="U131" s="411">
        <v>1084.58</v>
      </c>
      <c r="V131" s="411">
        <v>1077.3399999999999</v>
      </c>
    </row>
    <row r="132" spans="1:22" x14ac:dyDescent="0.25">
      <c r="A132" s="411" t="s">
        <v>101</v>
      </c>
      <c r="B132" s="411" t="s">
        <v>13</v>
      </c>
      <c r="C132" s="411"/>
      <c r="D132" s="412" t="s">
        <v>652</v>
      </c>
    </row>
    <row r="133" spans="1:22" x14ac:dyDescent="0.25">
      <c r="A133" s="411" t="s">
        <v>101</v>
      </c>
      <c r="B133" s="411" t="s">
        <v>13</v>
      </c>
      <c r="C133" s="411"/>
      <c r="D133" s="413" t="s">
        <v>653</v>
      </c>
      <c r="E133" s="411">
        <v>264067.92012438999</v>
      </c>
      <c r="F133" s="411">
        <v>408316.19452680001</v>
      </c>
      <c r="G133" s="411">
        <v>707434.70000819897</v>
      </c>
      <c r="H133" s="411">
        <v>1259517.6083519</v>
      </c>
      <c r="I133" s="411">
        <v>1507537.8870273</v>
      </c>
      <c r="J133" s="411">
        <v>1322725.5866298</v>
      </c>
      <c r="K133" s="411">
        <v>233446.45726503001</v>
      </c>
      <c r="L133" s="411">
        <v>248482.48695461001</v>
      </c>
      <c r="M133" s="411">
        <v>259718.31744464001</v>
      </c>
      <c r="N133" s="411">
        <v>400462.9296575</v>
      </c>
      <c r="O133" s="411">
        <v>690734.42805389897</v>
      </c>
      <c r="P133" s="411">
        <v>1238920.9530803999</v>
      </c>
      <c r="Q133" s="411">
        <v>1503321.2878051</v>
      </c>
      <c r="R133" s="411">
        <v>1316716.7996763999</v>
      </c>
      <c r="S133" s="411">
        <v>967414.02793630003</v>
      </c>
      <c r="T133" s="411">
        <v>536921.0351485</v>
      </c>
      <c r="U133" s="411">
        <v>324596.68185078999</v>
      </c>
      <c r="V133" s="411">
        <v>243280.69540376999</v>
      </c>
    </row>
    <row r="134" spans="1:22" x14ac:dyDescent="0.25">
      <c r="A134" s="411" t="s">
        <v>101</v>
      </c>
      <c r="B134" s="411" t="s">
        <v>13</v>
      </c>
      <c r="C134" s="411"/>
      <c r="D134" s="413" t="s">
        <v>654</v>
      </c>
      <c r="E134" s="411">
        <v>8164.7288959999996</v>
      </c>
      <c r="F134" s="411">
        <v>17008.291160000001</v>
      </c>
      <c r="G134" s="411">
        <v>61497.635249999999</v>
      </c>
      <c r="H134" s="411">
        <v>139903.55220000001</v>
      </c>
      <c r="I134" s="411">
        <v>287055.8763</v>
      </c>
      <c r="J134" s="411">
        <v>233346.49059999999</v>
      </c>
      <c r="K134" s="411">
        <v>7217.942395</v>
      </c>
      <c r="L134" s="411">
        <v>7682.8421280000002</v>
      </c>
      <c r="M134" s="411">
        <v>8030.2433199999996</v>
      </c>
      <c r="N134" s="411">
        <v>16681.165720000001</v>
      </c>
      <c r="O134" s="411">
        <v>60045.872660000001</v>
      </c>
      <c r="P134" s="411">
        <v>137615.73569999999</v>
      </c>
      <c r="Q134" s="411">
        <v>286252.97820000001</v>
      </c>
      <c r="R134" s="411">
        <v>232286.4602</v>
      </c>
      <c r="S134" s="411">
        <v>119531.0055</v>
      </c>
      <c r="T134" s="411">
        <v>28250.804779999999</v>
      </c>
      <c r="U134" s="411">
        <v>13520.979450000001</v>
      </c>
      <c r="V134" s="411">
        <v>10133.78592</v>
      </c>
    </row>
    <row r="135" spans="1:22" x14ac:dyDescent="0.25">
      <c r="A135" s="411" t="s">
        <v>101</v>
      </c>
      <c r="B135" s="411" t="s">
        <v>13</v>
      </c>
      <c r="C135" s="411"/>
      <c r="D135" s="414" t="s">
        <v>655</v>
      </c>
      <c r="E135" s="415">
        <v>272.23264902039</v>
      </c>
      <c r="F135" s="415">
        <v>425.32448568680002</v>
      </c>
      <c r="G135" s="415">
        <v>768.93233525819903</v>
      </c>
      <c r="H135" s="415">
        <v>1399.4211605518999</v>
      </c>
      <c r="I135" s="415">
        <v>1794.5937633272999</v>
      </c>
      <c r="J135" s="415">
        <v>1556.0720772298</v>
      </c>
      <c r="K135" s="415">
        <v>240.66439966003</v>
      </c>
      <c r="L135" s="415">
        <v>256.16532908261001</v>
      </c>
      <c r="M135" s="415">
        <v>267.74856076463999</v>
      </c>
      <c r="N135" s="415">
        <v>417.14409537749998</v>
      </c>
      <c r="O135" s="415">
        <v>750.78030071389901</v>
      </c>
      <c r="P135" s="415">
        <v>1376.5366887804</v>
      </c>
      <c r="Q135" s="415">
        <v>1789.5742660051001</v>
      </c>
      <c r="R135" s="415">
        <v>1549.0032598764001</v>
      </c>
      <c r="S135" s="415">
        <v>1086.9450334363</v>
      </c>
      <c r="T135" s="415">
        <v>565.17183992850005</v>
      </c>
      <c r="U135" s="415">
        <v>338.117661300789</v>
      </c>
      <c r="V135" s="415">
        <v>253.41448132376999</v>
      </c>
    </row>
    <row r="136" spans="1:22" x14ac:dyDescent="0.25">
      <c r="A136" s="411" t="s">
        <v>101</v>
      </c>
      <c r="B136" s="411" t="s">
        <v>13</v>
      </c>
      <c r="C136" s="411"/>
      <c r="D136" s="414" t="s">
        <v>656</v>
      </c>
      <c r="E136" s="415">
        <v>2.1503999999999999</v>
      </c>
      <c r="F136" s="415">
        <v>2.1503999999999999</v>
      </c>
      <c r="G136" s="415">
        <v>2.1503999999999999</v>
      </c>
      <c r="H136" s="415">
        <v>2.1503999999999999</v>
      </c>
      <c r="I136" s="415">
        <v>2.1503999999999999</v>
      </c>
      <c r="J136" s="415">
        <v>2.1503999999999999</v>
      </c>
      <c r="K136" s="415">
        <v>2.1503999999999999</v>
      </c>
      <c r="L136" s="415">
        <v>2.1503999999999999</v>
      </c>
      <c r="M136" s="415">
        <v>2.1503999999999999</v>
      </c>
      <c r="N136" s="415">
        <v>2.1503999999999999</v>
      </c>
      <c r="O136" s="415">
        <v>2.1503999999999999</v>
      </c>
      <c r="P136" s="415">
        <v>2.1503999999999999</v>
      </c>
      <c r="Q136" s="415">
        <v>2.1503999999999999</v>
      </c>
      <c r="R136" s="415">
        <v>2.1503999999999999</v>
      </c>
      <c r="S136" s="415">
        <v>2.1503999999999999</v>
      </c>
      <c r="T136" s="415">
        <v>2.1503999999999999</v>
      </c>
      <c r="U136" s="415">
        <v>2.1503999999999999</v>
      </c>
      <c r="V136" s="415">
        <v>2.1503999999999999</v>
      </c>
    </row>
    <row r="137" spans="1:22" x14ac:dyDescent="0.25">
      <c r="A137" s="411" t="s">
        <v>101</v>
      </c>
      <c r="B137" s="411" t="s">
        <v>13</v>
      </c>
      <c r="C137" s="411"/>
      <c r="D137" s="414" t="s">
        <v>657</v>
      </c>
      <c r="E137" s="415">
        <v>2.1503999999999999</v>
      </c>
      <c r="F137" s="415">
        <v>2.1503999999999999</v>
      </c>
      <c r="G137" s="415">
        <v>2.1503999999999999</v>
      </c>
      <c r="H137" s="415">
        <v>2.1503999999999999</v>
      </c>
      <c r="I137" s="415">
        <v>2.1503999999999999</v>
      </c>
      <c r="J137" s="415">
        <v>2.1503999999999999</v>
      </c>
      <c r="K137" s="415">
        <v>2.1503999999999999</v>
      </c>
      <c r="L137" s="415">
        <v>2.1503999999999999</v>
      </c>
      <c r="M137" s="415">
        <v>2.1503999999999999</v>
      </c>
      <c r="N137" s="415">
        <v>2.1503999999999999</v>
      </c>
      <c r="O137" s="415">
        <v>2.1503999999999999</v>
      </c>
      <c r="P137" s="415">
        <v>2.1503999999999999</v>
      </c>
      <c r="Q137" s="415">
        <v>2.1503999999999999</v>
      </c>
      <c r="R137" s="415">
        <v>2.1503999999999999</v>
      </c>
      <c r="S137" s="415">
        <v>2.1503999999999999</v>
      </c>
      <c r="T137" s="415">
        <v>2.1503999999999999</v>
      </c>
      <c r="U137" s="415">
        <v>2.1503999999999999</v>
      </c>
      <c r="V137" s="415">
        <v>2.1503999999999999</v>
      </c>
    </row>
    <row r="138" spans="1:22" x14ac:dyDescent="0.25">
      <c r="A138" s="411" t="s">
        <v>101</v>
      </c>
      <c r="B138" s="411" t="s">
        <v>13</v>
      </c>
      <c r="C138" s="411"/>
      <c r="D138" s="414" t="s">
        <v>658</v>
      </c>
      <c r="E138" s="415">
        <v>1.6504000000000001</v>
      </c>
      <c r="F138" s="415">
        <v>1.6504000000000001</v>
      </c>
      <c r="G138" s="415">
        <v>2.1503999999999999</v>
      </c>
      <c r="H138" s="415">
        <v>2.1503999999999999</v>
      </c>
      <c r="I138" s="415">
        <v>2.1503999999999999</v>
      </c>
      <c r="J138" s="415">
        <v>2.1503999999999999</v>
      </c>
      <c r="K138" s="415">
        <v>1.6504000000000001</v>
      </c>
      <c r="L138" s="415">
        <v>1.6504000000000001</v>
      </c>
      <c r="M138" s="415">
        <v>1.6504000000000001</v>
      </c>
      <c r="N138" s="415">
        <v>1.6504000000000001</v>
      </c>
      <c r="O138" s="415">
        <v>2.1503999999999999</v>
      </c>
      <c r="P138" s="415">
        <v>2.1503999999999999</v>
      </c>
      <c r="Q138" s="415">
        <v>2.1503999999999999</v>
      </c>
      <c r="R138" s="415">
        <v>2.1503999999999999</v>
      </c>
      <c r="S138" s="415">
        <v>2.1503999999999999</v>
      </c>
      <c r="T138" s="415">
        <v>1.6504000000000001</v>
      </c>
      <c r="U138" s="415">
        <v>1.6504000000000001</v>
      </c>
      <c r="V138" s="415">
        <v>1.6504000000000001</v>
      </c>
    </row>
    <row r="139" spans="1:22" x14ac:dyDescent="0.25">
      <c r="A139" s="411" t="s">
        <v>101</v>
      </c>
      <c r="B139" s="411" t="s">
        <v>13</v>
      </c>
      <c r="C139" s="411" t="s">
        <v>436</v>
      </c>
      <c r="D139" s="412" t="s">
        <v>659</v>
      </c>
      <c r="E139" s="411">
        <v>581.32672400544595</v>
      </c>
      <c r="F139" s="411">
        <v>906.11362844089399</v>
      </c>
      <c r="G139" s="411">
        <v>1653.5120937392301</v>
      </c>
      <c r="H139" s="411">
        <v>3009.3152636507998</v>
      </c>
      <c r="I139" s="411">
        <v>3859.0944286590202</v>
      </c>
      <c r="J139" s="411">
        <v>3346.1773948749601</v>
      </c>
      <c r="K139" s="411">
        <v>513.91575383142799</v>
      </c>
      <c r="L139" s="411">
        <v>547.01650259524399</v>
      </c>
      <c r="M139" s="411">
        <v>571.75138340828096</v>
      </c>
      <c r="N139" s="411">
        <v>888.68607983977597</v>
      </c>
      <c r="O139" s="411">
        <v>1614.4779586551699</v>
      </c>
      <c r="P139" s="411">
        <v>2960.1044955533698</v>
      </c>
      <c r="Q139" s="411">
        <v>3848.3005016173602</v>
      </c>
      <c r="R139" s="411">
        <v>3330.9766100382099</v>
      </c>
      <c r="S139" s="411">
        <v>2337.3665999014102</v>
      </c>
      <c r="T139" s="411">
        <v>1201.2201221922401</v>
      </c>
      <c r="U139" s="411">
        <v>720.32772913621795</v>
      </c>
      <c r="V139" s="411">
        <v>539.87560767863499</v>
      </c>
    </row>
    <row r="140" spans="1:22" x14ac:dyDescent="0.25">
      <c r="A140" s="411" t="s">
        <v>101</v>
      </c>
      <c r="B140" s="411" t="s">
        <v>13</v>
      </c>
      <c r="C140" s="411"/>
      <c r="D140" s="412" t="s">
        <v>660</v>
      </c>
    </row>
    <row r="141" spans="1:22" x14ac:dyDescent="0.25">
      <c r="A141" s="411" t="s">
        <v>101</v>
      </c>
      <c r="B141" s="411" t="s">
        <v>13</v>
      </c>
      <c r="C141" s="411"/>
      <c r="D141" s="412" t="s">
        <v>661</v>
      </c>
    </row>
    <row r="142" spans="1:22" x14ac:dyDescent="0.25">
      <c r="A142" s="411" t="s">
        <v>101</v>
      </c>
      <c r="B142" s="411" t="s">
        <v>13</v>
      </c>
      <c r="C142" s="411"/>
      <c r="D142" s="412" t="s">
        <v>662</v>
      </c>
      <c r="E142" s="411">
        <v>1660.0867240054399</v>
      </c>
      <c r="F142" s="411">
        <v>1988.05362844089</v>
      </c>
      <c r="G142" s="411">
        <v>2743.5520937392298</v>
      </c>
      <c r="H142" s="411">
        <v>4107.7352636508003</v>
      </c>
      <c r="I142" s="411">
        <v>4961.2144286590201</v>
      </c>
      <c r="J142" s="411">
        <v>4448.8373948749604</v>
      </c>
      <c r="K142" s="411">
        <v>1588.15575383142</v>
      </c>
      <c r="L142" s="411">
        <v>1621.9965025952399</v>
      </c>
      <c r="M142" s="411">
        <v>1647.13138340828</v>
      </c>
      <c r="N142" s="411">
        <v>1967.32607983977</v>
      </c>
      <c r="O142" s="411">
        <v>2701.2979586551701</v>
      </c>
      <c r="P142" s="411">
        <v>4055.3444955533701</v>
      </c>
      <c r="Q142" s="411">
        <v>4947.46050161736</v>
      </c>
      <c r="R142" s="411">
        <v>4430.5766100382098</v>
      </c>
      <c r="S142" s="411">
        <v>3436.3265999014102</v>
      </c>
      <c r="T142" s="411">
        <v>2294.4801221922398</v>
      </c>
      <c r="U142" s="411">
        <v>1804.90772913621</v>
      </c>
      <c r="V142" s="411">
        <v>1617.21560767863</v>
      </c>
    </row>
    <row r="143" spans="1:22" x14ac:dyDescent="0.25">
      <c r="A143" s="411" t="s">
        <v>101</v>
      </c>
      <c r="B143" s="411" t="s">
        <v>13</v>
      </c>
      <c r="C143" s="411"/>
      <c r="D143" s="412" t="s">
        <v>663</v>
      </c>
    </row>
    <row r="144" spans="1:22" x14ac:dyDescent="0.25">
      <c r="A144" s="411" t="s">
        <v>101</v>
      </c>
      <c r="B144" s="411" t="s">
        <v>13</v>
      </c>
      <c r="C144" s="411"/>
      <c r="D144" s="414" t="s">
        <v>664</v>
      </c>
      <c r="E144" s="415">
        <v>3.54132328535503</v>
      </c>
      <c r="F144" s="415">
        <v>4.0825536529198896</v>
      </c>
      <c r="G144" s="415">
        <v>4.6151370530302804</v>
      </c>
      <c r="H144" s="415">
        <v>4.7204926546137003</v>
      </c>
      <c r="I144" s="415">
        <v>4.2816079006073897</v>
      </c>
      <c r="J144" s="415">
        <v>4.61774840312499</v>
      </c>
      <c r="K144" s="415">
        <v>3.6370825733754901</v>
      </c>
      <c r="L144" s="415">
        <v>3.1998593487156</v>
      </c>
      <c r="M144" s="415">
        <v>3.4441400635944199</v>
      </c>
      <c r="N144" s="415">
        <v>2.6697967759149801</v>
      </c>
      <c r="O144" s="415">
        <v>3.6621728781104101</v>
      </c>
      <c r="P144" s="415">
        <v>3.9547219031793199</v>
      </c>
      <c r="Q144" s="415">
        <v>4.3060793499123999</v>
      </c>
      <c r="R144" s="415">
        <v>4.66270835833049</v>
      </c>
      <c r="S144" s="415">
        <v>5.2056863414265502</v>
      </c>
      <c r="T144" s="415">
        <v>5.4531502607765896</v>
      </c>
      <c r="U144" s="415">
        <v>5.0764131270513699</v>
      </c>
      <c r="V144" s="415">
        <v>4.0447960531742</v>
      </c>
    </row>
    <row r="145" spans="1:22" x14ac:dyDescent="0.25">
      <c r="A145" s="411" t="s">
        <v>101</v>
      </c>
      <c r="B145" s="411" t="s">
        <v>13</v>
      </c>
      <c r="C145" s="411" t="s">
        <v>178</v>
      </c>
      <c r="D145" s="413" t="s">
        <v>665</v>
      </c>
      <c r="E145" s="411">
        <v>964.06381900979102</v>
      </c>
      <c r="F145" s="411">
        <v>1736.4100327169199</v>
      </c>
      <c r="G145" s="411">
        <v>3548.7281117232201</v>
      </c>
      <c r="H145" s="411">
        <v>6605.9573090962203</v>
      </c>
      <c r="I145" s="411">
        <v>7683.7468354429102</v>
      </c>
      <c r="J145" s="411">
        <v>7185.5493497752996</v>
      </c>
      <c r="K145" s="411">
        <v>875.31629403536999</v>
      </c>
      <c r="L145" s="411">
        <v>819.69302308179897</v>
      </c>
      <c r="M145" s="411">
        <v>922.16354509924304</v>
      </c>
      <c r="N145" s="411">
        <v>1113.68996093082</v>
      </c>
      <c r="O145" s="411">
        <v>2749.4872546940201</v>
      </c>
      <c r="P145" s="411">
        <v>5443.81979364978</v>
      </c>
      <c r="Q145" s="411">
        <v>7706.0487919792104</v>
      </c>
      <c r="R145" s="411">
        <v>7222.5504469068701</v>
      </c>
      <c r="S145" s="411">
        <v>5658.2949144407703</v>
      </c>
      <c r="T145" s="411">
        <v>3081.9669662896799</v>
      </c>
      <c r="U145" s="411">
        <v>1716.4249343152301</v>
      </c>
      <c r="V145" s="411">
        <v>1025.00989387557</v>
      </c>
    </row>
    <row r="146" spans="1:22" x14ac:dyDescent="0.25">
      <c r="A146" s="411" t="s">
        <v>101</v>
      </c>
      <c r="B146" s="411" t="s">
        <v>13</v>
      </c>
      <c r="C146" s="411"/>
      <c r="D146" s="412" t="s">
        <v>666</v>
      </c>
    </row>
    <row r="147" spans="1:22" x14ac:dyDescent="0.25">
      <c r="A147" s="411" t="s">
        <v>101</v>
      </c>
      <c r="B147" s="411" t="s">
        <v>13</v>
      </c>
      <c r="C147" s="411"/>
      <c r="D147" s="414" t="s">
        <v>667</v>
      </c>
      <c r="E147" s="415">
        <v>0.34906843462946002</v>
      </c>
      <c r="F147" s="415">
        <v>0.16939007523933</v>
      </c>
      <c r="G147" s="415">
        <v>9.4024398016510996E-2</v>
      </c>
      <c r="H147" s="415">
        <v>7.9005885786712304E-2</v>
      </c>
      <c r="I147" s="415">
        <v>4.2818241030573301E-2</v>
      </c>
      <c r="J147" s="415">
        <v>5.3348528484577801E-2</v>
      </c>
      <c r="K147" s="415">
        <v>0.24690512534735301</v>
      </c>
      <c r="L147" s="415">
        <v>0.286805863570613</v>
      </c>
      <c r="M147" s="415">
        <v>0.2714755224323</v>
      </c>
      <c r="N147" s="415">
        <v>0.23977615362243901</v>
      </c>
      <c r="O147" s="415">
        <v>0.112823983088882</v>
      </c>
      <c r="P147" s="415">
        <v>3.1676324500992899E-2</v>
      </c>
      <c r="Q147" s="415">
        <v>5.1767532114618299E-2</v>
      </c>
      <c r="R147" s="415">
        <v>6.4560825100963504E-2</v>
      </c>
      <c r="S147" s="415">
        <v>0.10990553607190399</v>
      </c>
      <c r="T147" s="415">
        <v>0.18637651503338701</v>
      </c>
      <c r="U147" s="415">
        <v>0.28860955010716799</v>
      </c>
      <c r="V147" s="415">
        <v>0.33287319112658798</v>
      </c>
    </row>
    <row r="148" spans="1:22" x14ac:dyDescent="0.25">
      <c r="A148" s="411" t="s">
        <v>101</v>
      </c>
      <c r="B148" s="411" t="s">
        <v>13</v>
      </c>
      <c r="C148" s="411" t="s">
        <v>180</v>
      </c>
      <c r="D148" s="413" t="s">
        <v>668</v>
      </c>
      <c r="E148" s="411">
        <v>95.0278246485788</v>
      </c>
      <c r="F148" s="411">
        <v>72.045746631616396</v>
      </c>
      <c r="G148" s="411">
        <v>72.298399938082298</v>
      </c>
      <c r="H148" s="411">
        <v>110.562508378071</v>
      </c>
      <c r="I148" s="411">
        <v>76.841348310112096</v>
      </c>
      <c r="J148" s="411">
        <v>83.014155536150199</v>
      </c>
      <c r="K148" s="411">
        <v>59.421273764705198</v>
      </c>
      <c r="L148" s="411">
        <v>73.469718424388404</v>
      </c>
      <c r="M148" s="411">
        <v>72.687180414077204</v>
      </c>
      <c r="N148" s="411">
        <v>100.021206695929</v>
      </c>
      <c r="O148" s="411">
        <v>84.706023951210796</v>
      </c>
      <c r="P148" s="411">
        <v>43.6036228413302</v>
      </c>
      <c r="Q148" s="411">
        <v>92.641843286913499</v>
      </c>
      <c r="R148" s="411">
        <v>100.004928541702</v>
      </c>
      <c r="S148" s="411">
        <v>119.46127658051</v>
      </c>
      <c r="T148" s="411">
        <v>105.334757920881</v>
      </c>
      <c r="U148" s="411">
        <v>97.583986111308803</v>
      </c>
      <c r="V148" s="411">
        <v>84.354887075932595</v>
      </c>
    </row>
    <row r="149" spans="1:22" x14ac:dyDescent="0.25">
      <c r="A149" s="411" t="s">
        <v>101</v>
      </c>
      <c r="B149" s="411" t="s">
        <v>13</v>
      </c>
      <c r="C149" s="411"/>
      <c r="D149" s="412" t="s">
        <v>669</v>
      </c>
    </row>
    <row r="150" spans="1:22" x14ac:dyDescent="0.25">
      <c r="A150" s="411" t="s">
        <v>101</v>
      </c>
      <c r="B150" s="411" t="s">
        <v>13</v>
      </c>
      <c r="C150" s="411"/>
      <c r="D150" s="414" t="s">
        <v>670</v>
      </c>
      <c r="E150" s="415">
        <v>0.289271550125482</v>
      </c>
      <c r="F150" s="415">
        <v>0.289271550125482</v>
      </c>
      <c r="G150" s="415">
        <v>0.289271550125482</v>
      </c>
      <c r="H150" s="415">
        <v>0.289271550125482</v>
      </c>
      <c r="I150" s="415">
        <v>0.289271550125482</v>
      </c>
      <c r="J150" s="415">
        <v>0.289271550125482</v>
      </c>
      <c r="K150" s="415">
        <v>0.289271550125482</v>
      </c>
      <c r="L150" s="415">
        <v>0.289271550125482</v>
      </c>
      <c r="M150" s="415">
        <v>0.289271550125482</v>
      </c>
      <c r="N150" s="415">
        <v>0.289271550125482</v>
      </c>
      <c r="O150" s="415">
        <v>0.289271550125482</v>
      </c>
      <c r="P150" s="415">
        <v>0.289271550125482</v>
      </c>
      <c r="Q150" s="415">
        <v>0.289271550125482</v>
      </c>
      <c r="R150" s="415">
        <v>0.289271550125482</v>
      </c>
      <c r="S150" s="415">
        <v>0.289271550125482</v>
      </c>
      <c r="T150" s="415">
        <v>0.289271550125482</v>
      </c>
      <c r="U150" s="415">
        <v>0.289271550125482</v>
      </c>
      <c r="V150" s="415">
        <v>0.289271550125482</v>
      </c>
    </row>
    <row r="151" spans="1:22" x14ac:dyDescent="0.25">
      <c r="A151" s="411" t="s">
        <v>101</v>
      </c>
      <c r="B151" s="411" t="s">
        <v>13</v>
      </c>
      <c r="C151" s="411" t="s">
        <v>424</v>
      </c>
      <c r="D151" s="413" t="s">
        <v>671</v>
      </c>
      <c r="E151" s="411">
        <v>567.53941097354698</v>
      </c>
      <c r="F151" s="411">
        <v>575.54998672898103</v>
      </c>
      <c r="G151" s="411">
        <v>558.90927006408594</v>
      </c>
      <c r="H151" s="411">
        <v>568.91695424153295</v>
      </c>
      <c r="I151" s="411">
        <v>685.50877027309798</v>
      </c>
      <c r="J151" s="411">
        <v>671.05303534998302</v>
      </c>
      <c r="K151" s="411">
        <v>696.492107269901</v>
      </c>
      <c r="L151" s="411">
        <v>708.48112487248898</v>
      </c>
      <c r="M151" s="411">
        <v>708.20096870769703</v>
      </c>
      <c r="N151" s="411">
        <v>711.83077718511299</v>
      </c>
      <c r="O151" s="411">
        <v>697.78813308366205</v>
      </c>
      <c r="P151" s="411">
        <v>695.15239182909795</v>
      </c>
      <c r="Q151" s="411">
        <v>785.27097947863501</v>
      </c>
      <c r="R151" s="411">
        <v>767.23389947912699</v>
      </c>
      <c r="S151" s="411">
        <v>778.47531508874295</v>
      </c>
      <c r="T151" s="411">
        <v>769.35417669767003</v>
      </c>
      <c r="U151" s="411">
        <v>802.44691288937599</v>
      </c>
      <c r="V151" s="411">
        <v>802.72710456017501</v>
      </c>
    </row>
    <row r="152" spans="1:22" x14ac:dyDescent="0.25">
      <c r="A152" s="411" t="s">
        <v>101</v>
      </c>
      <c r="B152" s="411" t="s">
        <v>13</v>
      </c>
      <c r="C152" s="411"/>
      <c r="D152" s="412" t="s">
        <v>672</v>
      </c>
      <c r="E152" s="411">
        <v>3286.71777863736</v>
      </c>
      <c r="F152" s="411">
        <v>4372.05939451841</v>
      </c>
      <c r="G152" s="411">
        <v>6923.4878754646197</v>
      </c>
      <c r="H152" s="411">
        <v>11393.172035366601</v>
      </c>
      <c r="I152" s="411">
        <v>13407.3113826851</v>
      </c>
      <c r="J152" s="411">
        <v>12388.4539355364</v>
      </c>
      <c r="K152" s="411">
        <v>3219.3854289013998</v>
      </c>
      <c r="L152" s="411">
        <v>3223.64036897392</v>
      </c>
      <c r="M152" s="411">
        <v>3350.1830776293</v>
      </c>
      <c r="N152" s="411">
        <v>3892.8680246516401</v>
      </c>
      <c r="O152" s="411">
        <v>6233.2793703840698</v>
      </c>
      <c r="P152" s="411">
        <v>10237.9203038735</v>
      </c>
      <c r="Q152" s="411">
        <v>13531.4221163621</v>
      </c>
      <c r="R152" s="411">
        <v>12520.3658849659</v>
      </c>
      <c r="S152" s="411">
        <v>9992.5581060114491</v>
      </c>
      <c r="T152" s="411">
        <v>6251.1360231004801</v>
      </c>
      <c r="U152" s="411">
        <v>4421.3635624521403</v>
      </c>
      <c r="V152" s="411">
        <v>3529.3074931903102</v>
      </c>
    </row>
    <row r="153" spans="1:22" s="84" customFormat="1" x14ac:dyDescent="0.25">
      <c r="A153" s="613" t="s">
        <v>111</v>
      </c>
      <c r="B153" s="613" t="s">
        <v>18</v>
      </c>
      <c r="C153" s="613"/>
      <c r="D153" s="643" t="s">
        <v>681</v>
      </c>
    </row>
    <row r="154" spans="1:22" x14ac:dyDescent="0.25">
      <c r="A154" s="416" t="s">
        <v>111</v>
      </c>
      <c r="B154" s="416" t="s">
        <v>18</v>
      </c>
      <c r="C154" s="416"/>
      <c r="D154" s="412" t="s">
        <v>645</v>
      </c>
    </row>
    <row r="155" spans="1:22" x14ac:dyDescent="0.25">
      <c r="A155" s="416" t="s">
        <v>111</v>
      </c>
      <c r="B155" s="416" t="s">
        <v>18</v>
      </c>
      <c r="C155" s="416"/>
      <c r="D155" s="413" t="s">
        <v>646</v>
      </c>
      <c r="E155" s="411">
        <v>140</v>
      </c>
      <c r="F155" s="411">
        <v>140</v>
      </c>
      <c r="G155" s="411">
        <v>140</v>
      </c>
      <c r="H155" s="411">
        <v>141</v>
      </c>
      <c r="I155" s="411">
        <v>141</v>
      </c>
      <c r="J155" s="411">
        <v>141</v>
      </c>
      <c r="K155" s="411">
        <v>142</v>
      </c>
      <c r="L155" s="411">
        <v>143</v>
      </c>
      <c r="M155" s="411">
        <v>143</v>
      </c>
      <c r="N155" s="411">
        <v>143</v>
      </c>
      <c r="O155" s="411">
        <v>143</v>
      </c>
      <c r="P155" s="411">
        <v>144</v>
      </c>
      <c r="Q155" s="411">
        <v>144</v>
      </c>
      <c r="R155" s="411">
        <v>144</v>
      </c>
      <c r="S155" s="411">
        <v>144</v>
      </c>
      <c r="T155" s="411">
        <v>145</v>
      </c>
      <c r="U155" s="411">
        <v>145</v>
      </c>
      <c r="V155" s="411">
        <v>145</v>
      </c>
    </row>
    <row r="156" spans="1:22" x14ac:dyDescent="0.25">
      <c r="A156" s="416" t="s">
        <v>111</v>
      </c>
      <c r="B156" s="416" t="s">
        <v>18</v>
      </c>
      <c r="C156" s="416"/>
      <c r="D156" s="413" t="s">
        <v>647</v>
      </c>
      <c r="E156" s="411">
        <v>109</v>
      </c>
      <c r="F156" s="411">
        <v>110</v>
      </c>
      <c r="G156" s="411">
        <v>110</v>
      </c>
      <c r="H156" s="411">
        <v>110</v>
      </c>
      <c r="I156" s="411">
        <v>110</v>
      </c>
      <c r="J156" s="411">
        <v>111</v>
      </c>
      <c r="K156" s="411">
        <v>111</v>
      </c>
      <c r="L156" s="411">
        <v>112</v>
      </c>
      <c r="M156" s="411">
        <v>112</v>
      </c>
      <c r="N156" s="411">
        <v>112</v>
      </c>
      <c r="O156" s="411">
        <v>112</v>
      </c>
      <c r="P156" s="411">
        <v>113</v>
      </c>
      <c r="Q156" s="411">
        <v>113</v>
      </c>
      <c r="R156" s="411">
        <v>113</v>
      </c>
      <c r="S156" s="411">
        <v>113</v>
      </c>
      <c r="T156" s="411">
        <v>114</v>
      </c>
      <c r="U156" s="411">
        <v>114</v>
      </c>
      <c r="V156" s="411">
        <v>114</v>
      </c>
    </row>
    <row r="157" spans="1:22" x14ac:dyDescent="0.25">
      <c r="A157" s="416" t="s">
        <v>111</v>
      </c>
      <c r="B157" s="416" t="s">
        <v>18</v>
      </c>
      <c r="C157" s="416"/>
      <c r="D157" s="413" t="s">
        <v>648</v>
      </c>
      <c r="E157" s="411">
        <v>249</v>
      </c>
      <c r="F157" s="411">
        <v>250</v>
      </c>
      <c r="G157" s="411">
        <v>250</v>
      </c>
      <c r="H157" s="411">
        <v>251</v>
      </c>
      <c r="I157" s="411">
        <v>251</v>
      </c>
      <c r="J157" s="411">
        <v>252</v>
      </c>
      <c r="K157" s="411">
        <v>253</v>
      </c>
      <c r="L157" s="411">
        <v>255</v>
      </c>
      <c r="M157" s="411">
        <v>255</v>
      </c>
      <c r="N157" s="411">
        <v>255</v>
      </c>
      <c r="O157" s="411">
        <v>255</v>
      </c>
      <c r="P157" s="411">
        <v>257</v>
      </c>
      <c r="Q157" s="411">
        <v>257</v>
      </c>
      <c r="R157" s="411">
        <v>257</v>
      </c>
      <c r="S157" s="411">
        <v>257</v>
      </c>
      <c r="T157" s="411">
        <v>259</v>
      </c>
      <c r="U157" s="411">
        <v>259</v>
      </c>
      <c r="V157" s="411">
        <v>259</v>
      </c>
    </row>
    <row r="158" spans="1:22" x14ac:dyDescent="0.25">
      <c r="A158" s="416" t="s">
        <v>111</v>
      </c>
      <c r="B158" s="416" t="s">
        <v>18</v>
      </c>
      <c r="C158" s="416"/>
      <c r="D158" s="413" t="s">
        <v>649</v>
      </c>
      <c r="E158" s="411">
        <v>40</v>
      </c>
      <c r="F158" s="411">
        <v>40</v>
      </c>
      <c r="G158" s="411">
        <v>40</v>
      </c>
      <c r="H158" s="411">
        <v>40</v>
      </c>
      <c r="I158" s="411">
        <v>40</v>
      </c>
      <c r="J158" s="411">
        <v>40</v>
      </c>
      <c r="K158" s="411">
        <v>40</v>
      </c>
      <c r="L158" s="411">
        <v>40</v>
      </c>
      <c r="M158" s="411">
        <v>40</v>
      </c>
      <c r="N158" s="411">
        <v>40</v>
      </c>
      <c r="O158" s="411">
        <v>40</v>
      </c>
      <c r="P158" s="411">
        <v>40</v>
      </c>
      <c r="Q158" s="411">
        <v>40</v>
      </c>
      <c r="R158" s="411">
        <v>40</v>
      </c>
      <c r="S158" s="411">
        <v>40</v>
      </c>
      <c r="T158" s="411">
        <v>40</v>
      </c>
      <c r="U158" s="411">
        <v>40</v>
      </c>
      <c r="V158" s="411">
        <v>40</v>
      </c>
    </row>
    <row r="159" spans="1:22" x14ac:dyDescent="0.25">
      <c r="A159" s="416" t="s">
        <v>111</v>
      </c>
      <c r="B159" s="416" t="s">
        <v>18</v>
      </c>
      <c r="C159" s="416"/>
      <c r="D159" s="413" t="s">
        <v>650</v>
      </c>
      <c r="E159" s="411">
        <v>180</v>
      </c>
      <c r="F159" s="411">
        <v>180</v>
      </c>
      <c r="G159" s="411">
        <v>180</v>
      </c>
      <c r="H159" s="411">
        <v>180</v>
      </c>
      <c r="I159" s="411">
        <v>180</v>
      </c>
      <c r="J159" s="411">
        <v>180</v>
      </c>
      <c r="K159" s="411">
        <v>180</v>
      </c>
      <c r="L159" s="411">
        <v>180</v>
      </c>
      <c r="M159" s="411">
        <v>180</v>
      </c>
      <c r="N159" s="411">
        <v>180</v>
      </c>
      <c r="O159" s="411">
        <v>180</v>
      </c>
      <c r="P159" s="411">
        <v>180</v>
      </c>
      <c r="Q159" s="411">
        <v>180</v>
      </c>
      <c r="R159" s="411">
        <v>180</v>
      </c>
      <c r="S159" s="411">
        <v>180</v>
      </c>
      <c r="T159" s="411">
        <v>180</v>
      </c>
      <c r="U159" s="411">
        <v>180</v>
      </c>
      <c r="V159" s="411">
        <v>180</v>
      </c>
    </row>
    <row r="160" spans="1:22" x14ac:dyDescent="0.25">
      <c r="A160" s="416" t="s">
        <v>111</v>
      </c>
      <c r="B160" s="416" t="s">
        <v>18</v>
      </c>
      <c r="C160" s="416" t="s">
        <v>154</v>
      </c>
      <c r="D160" s="412" t="s">
        <v>651</v>
      </c>
      <c r="E160" s="411">
        <v>25.22</v>
      </c>
      <c r="F160" s="411">
        <v>25.4</v>
      </c>
      <c r="G160" s="411">
        <v>25.4</v>
      </c>
      <c r="H160" s="411">
        <v>25.44</v>
      </c>
      <c r="I160" s="411">
        <v>25.44</v>
      </c>
      <c r="J160" s="411">
        <v>25.62</v>
      </c>
      <c r="K160" s="411">
        <v>25.66</v>
      </c>
      <c r="L160" s="411">
        <v>25.88</v>
      </c>
      <c r="M160" s="411">
        <v>25.88</v>
      </c>
      <c r="N160" s="411">
        <v>25.88</v>
      </c>
      <c r="O160" s="411">
        <v>25.88</v>
      </c>
      <c r="P160" s="411">
        <v>26.1</v>
      </c>
      <c r="Q160" s="411">
        <v>26.1</v>
      </c>
      <c r="R160" s="411">
        <v>26.1</v>
      </c>
      <c r="S160" s="411">
        <v>26.1</v>
      </c>
      <c r="T160" s="411">
        <v>26.32</v>
      </c>
      <c r="U160" s="411">
        <v>26.32</v>
      </c>
      <c r="V160" s="411">
        <v>26.32</v>
      </c>
    </row>
    <row r="161" spans="1:22" x14ac:dyDescent="0.25">
      <c r="A161" s="416" t="s">
        <v>111</v>
      </c>
      <c r="B161" s="416" t="s">
        <v>18</v>
      </c>
      <c r="C161" s="416"/>
      <c r="D161" s="412" t="s">
        <v>652</v>
      </c>
    </row>
    <row r="162" spans="1:22" x14ac:dyDescent="0.25">
      <c r="A162" s="416" t="s">
        <v>111</v>
      </c>
      <c r="B162" s="416" t="s">
        <v>18</v>
      </c>
      <c r="C162" s="416"/>
      <c r="D162" s="413" t="s">
        <v>653</v>
      </c>
      <c r="E162" s="411">
        <v>63462.824883000001</v>
      </c>
      <c r="F162" s="411">
        <v>93131.486726999996</v>
      </c>
      <c r="G162" s="411">
        <v>81483.202413000006</v>
      </c>
      <c r="H162" s="411">
        <v>72225.890786999997</v>
      </c>
      <c r="I162" s="411">
        <v>60413.292708000001</v>
      </c>
      <c r="J162" s="411">
        <v>57666.478955999999</v>
      </c>
      <c r="K162" s="411">
        <v>60173.400972000003</v>
      </c>
      <c r="L162" s="411">
        <v>64417.804626999998</v>
      </c>
      <c r="M162" s="411">
        <v>66212.795656999995</v>
      </c>
      <c r="N162" s="411">
        <v>96364.742104999998</v>
      </c>
      <c r="O162" s="411">
        <v>83269.459723000007</v>
      </c>
      <c r="P162" s="411">
        <v>73801.397686999902</v>
      </c>
      <c r="Q162" s="411">
        <v>62251.696714999998</v>
      </c>
      <c r="R162" s="411">
        <v>59186.984959000001</v>
      </c>
      <c r="S162" s="411">
        <v>54114.522584999999</v>
      </c>
      <c r="T162" s="411">
        <v>59822.964640999999</v>
      </c>
      <c r="U162" s="411">
        <v>58223.833570000003</v>
      </c>
      <c r="V162" s="411">
        <v>60168.454505000002</v>
      </c>
    </row>
    <row r="163" spans="1:22" x14ac:dyDescent="0.25">
      <c r="A163" s="416" t="s">
        <v>111</v>
      </c>
      <c r="B163" s="416" t="s">
        <v>18</v>
      </c>
      <c r="C163" s="416"/>
      <c r="D163" s="413" t="s">
        <v>654</v>
      </c>
      <c r="E163" s="411">
        <v>19624.114600000001</v>
      </c>
      <c r="F163" s="411">
        <v>33700.741249999999</v>
      </c>
      <c r="G163" s="411">
        <v>64767.341610000003</v>
      </c>
      <c r="H163" s="411">
        <v>104136.6865</v>
      </c>
      <c r="I163" s="411">
        <v>122213.7473</v>
      </c>
      <c r="J163" s="411">
        <v>111620.84819999999</v>
      </c>
      <c r="K163" s="411">
        <v>18606.951679999998</v>
      </c>
      <c r="L163" s="411">
        <v>21020.221150000001</v>
      </c>
      <c r="M163" s="411">
        <v>20474.466619999999</v>
      </c>
      <c r="N163" s="411">
        <v>34870.733339999999</v>
      </c>
      <c r="O163" s="411">
        <v>66187.157389999993</v>
      </c>
      <c r="P163" s="411">
        <v>106408.2828</v>
      </c>
      <c r="Q163" s="411">
        <v>125932.76730000001</v>
      </c>
      <c r="R163" s="411">
        <v>114563.9822</v>
      </c>
      <c r="S163" s="411">
        <v>74922.562709999998</v>
      </c>
      <c r="T163" s="411">
        <v>34256.455370000003</v>
      </c>
      <c r="U163" s="411">
        <v>25560.60469</v>
      </c>
      <c r="V163" s="411">
        <v>19633.612590000001</v>
      </c>
    </row>
    <row r="164" spans="1:22" x14ac:dyDescent="0.25">
      <c r="A164" s="416" t="s">
        <v>111</v>
      </c>
      <c r="B164" s="416" t="s">
        <v>18</v>
      </c>
      <c r="C164" s="416"/>
      <c r="D164" s="414" t="s">
        <v>655</v>
      </c>
      <c r="E164" s="415">
        <v>83.086939482999995</v>
      </c>
      <c r="F164" s="415">
        <v>126.832227977</v>
      </c>
      <c r="G164" s="415">
        <v>146.250544023</v>
      </c>
      <c r="H164" s="415">
        <v>176.36257728699999</v>
      </c>
      <c r="I164" s="415">
        <v>182.62704000799999</v>
      </c>
      <c r="J164" s="415">
        <v>169.28732715599901</v>
      </c>
      <c r="K164" s="415">
        <v>78.780352652000005</v>
      </c>
      <c r="L164" s="415">
        <v>85.438025776999993</v>
      </c>
      <c r="M164" s="415">
        <v>86.687262277000002</v>
      </c>
      <c r="N164" s="415">
        <v>131.23547544499999</v>
      </c>
      <c r="O164" s="415">
        <v>149.45661711299999</v>
      </c>
      <c r="P164" s="415">
        <v>180.20968048699899</v>
      </c>
      <c r="Q164" s="415">
        <v>188.184464015</v>
      </c>
      <c r="R164" s="415">
        <v>173.750967159</v>
      </c>
      <c r="S164" s="415">
        <v>129.037085295</v>
      </c>
      <c r="T164" s="415">
        <v>94.079420010999996</v>
      </c>
      <c r="U164" s="415">
        <v>83.784438260000002</v>
      </c>
      <c r="V164" s="415">
        <v>79.802067094999998</v>
      </c>
    </row>
    <row r="165" spans="1:22" x14ac:dyDescent="0.25">
      <c r="A165" s="416" t="s">
        <v>111</v>
      </c>
      <c r="B165" s="416" t="s">
        <v>18</v>
      </c>
      <c r="C165" s="416"/>
      <c r="D165" s="414" t="s">
        <v>656</v>
      </c>
      <c r="E165" s="415">
        <v>2.2778999999999998</v>
      </c>
      <c r="F165" s="415">
        <v>2.2778999999999998</v>
      </c>
      <c r="G165" s="415">
        <v>2.2778999999999998</v>
      </c>
      <c r="H165" s="415">
        <v>2.2778999999999998</v>
      </c>
      <c r="I165" s="415">
        <v>2.2778999999999998</v>
      </c>
      <c r="J165" s="415">
        <v>2.2778999999999998</v>
      </c>
      <c r="K165" s="415">
        <v>2.2778999999999998</v>
      </c>
      <c r="L165" s="415">
        <v>2.2778999999999998</v>
      </c>
      <c r="M165" s="415">
        <v>2.2778999999999998</v>
      </c>
      <c r="N165" s="415">
        <v>2.2778999999999998</v>
      </c>
      <c r="O165" s="415">
        <v>2.2778999999999998</v>
      </c>
      <c r="P165" s="415">
        <v>2.2778999999999998</v>
      </c>
      <c r="Q165" s="415">
        <v>2.2778999999999998</v>
      </c>
      <c r="R165" s="415">
        <v>2.2778999999999998</v>
      </c>
      <c r="S165" s="415">
        <v>2.2778999999999998</v>
      </c>
      <c r="T165" s="415">
        <v>2.2778999999999998</v>
      </c>
      <c r="U165" s="415">
        <v>2.2778999999999998</v>
      </c>
      <c r="V165" s="415">
        <v>2.2778999999999998</v>
      </c>
    </row>
    <row r="166" spans="1:22" x14ac:dyDescent="0.25">
      <c r="A166" s="416" t="s">
        <v>111</v>
      </c>
      <c r="B166" s="416" t="s">
        <v>18</v>
      </c>
      <c r="C166" s="416"/>
      <c r="D166" s="414" t="s">
        <v>657</v>
      </c>
      <c r="E166" s="415">
        <v>2.2778999999999998</v>
      </c>
      <c r="F166" s="415">
        <v>2.2778999999999998</v>
      </c>
      <c r="G166" s="415">
        <v>2.2778999999999998</v>
      </c>
      <c r="H166" s="415">
        <v>2.2778999999999998</v>
      </c>
      <c r="I166" s="415">
        <v>2.2778999999999998</v>
      </c>
      <c r="J166" s="415">
        <v>2.2778999999999998</v>
      </c>
      <c r="K166" s="415">
        <v>2.2778999999999998</v>
      </c>
      <c r="L166" s="415">
        <v>2.2778999999999998</v>
      </c>
      <c r="M166" s="415">
        <v>2.2778999999999998</v>
      </c>
      <c r="N166" s="415">
        <v>2.2778999999999998</v>
      </c>
      <c r="O166" s="415">
        <v>2.2778999999999998</v>
      </c>
      <c r="P166" s="415">
        <v>2.2778999999999998</v>
      </c>
      <c r="Q166" s="415">
        <v>2.2778999999999998</v>
      </c>
      <c r="R166" s="415">
        <v>2.2778999999999998</v>
      </c>
      <c r="S166" s="415">
        <v>2.2778999999999998</v>
      </c>
      <c r="T166" s="415">
        <v>2.2778999999999998</v>
      </c>
      <c r="U166" s="415">
        <v>2.2778999999999998</v>
      </c>
      <c r="V166" s="415">
        <v>2.2778999999999998</v>
      </c>
    </row>
    <row r="167" spans="1:22" x14ac:dyDescent="0.25">
      <c r="A167" s="416" t="s">
        <v>111</v>
      </c>
      <c r="B167" s="416" t="s">
        <v>18</v>
      </c>
      <c r="C167" s="416"/>
      <c r="D167" s="414" t="s">
        <v>658</v>
      </c>
      <c r="E167" s="415">
        <v>1.7779</v>
      </c>
      <c r="F167" s="415">
        <v>1.7779</v>
      </c>
      <c r="G167" s="415">
        <v>2.2778999999999998</v>
      </c>
      <c r="H167" s="415">
        <v>2.2778999999999998</v>
      </c>
      <c r="I167" s="415">
        <v>2.2778999999999998</v>
      </c>
      <c r="J167" s="415">
        <v>2.2778999999999998</v>
      </c>
      <c r="K167" s="415">
        <v>1.7779</v>
      </c>
      <c r="L167" s="415">
        <v>1.7779</v>
      </c>
      <c r="M167" s="415">
        <v>1.7779</v>
      </c>
      <c r="N167" s="415">
        <v>1.7779</v>
      </c>
      <c r="O167" s="415">
        <v>2.2778999999999998</v>
      </c>
      <c r="P167" s="415">
        <v>2.2778999999999998</v>
      </c>
      <c r="Q167" s="415">
        <v>2.2778999999999998</v>
      </c>
      <c r="R167" s="415">
        <v>2.2778999999999998</v>
      </c>
      <c r="S167" s="415">
        <v>2.2778999999999998</v>
      </c>
      <c r="T167" s="415">
        <v>1.7779</v>
      </c>
      <c r="U167" s="415">
        <v>1.7779</v>
      </c>
      <c r="V167" s="415">
        <v>1.7779</v>
      </c>
    </row>
    <row r="168" spans="1:22" x14ac:dyDescent="0.25">
      <c r="A168" s="416" t="s">
        <v>111</v>
      </c>
      <c r="B168" s="416" t="s">
        <v>18</v>
      </c>
      <c r="C168" s="416" t="s">
        <v>436</v>
      </c>
      <c r="D168" s="412" t="s">
        <v>659</v>
      </c>
      <c r="E168" s="411">
        <v>179.45168214832501</v>
      </c>
      <c r="F168" s="411">
        <v>272.06076148380799</v>
      </c>
      <c r="G168" s="411">
        <v>333.14411422999098</v>
      </c>
      <c r="H168" s="411">
        <v>401.736314802057</v>
      </c>
      <c r="I168" s="411">
        <v>416.00613443422299</v>
      </c>
      <c r="J168" s="411">
        <v>385.61960252865202</v>
      </c>
      <c r="K168" s="411">
        <v>170.15028946599</v>
      </c>
      <c r="L168" s="411">
        <v>184.10916834242801</v>
      </c>
      <c r="M168" s="411">
        <v>187.22768143077801</v>
      </c>
      <c r="N168" s="411">
        <v>281.50592284616499</v>
      </c>
      <c r="O168" s="411">
        <v>340.44722812170198</v>
      </c>
      <c r="P168" s="411">
        <v>410.49963118133701</v>
      </c>
      <c r="Q168" s="411">
        <v>428.66539057976797</v>
      </c>
      <c r="R168" s="411">
        <v>395.78732809148602</v>
      </c>
      <c r="S168" s="411">
        <v>293.93357659347998</v>
      </c>
      <c r="T168" s="411">
        <v>197.175283158056</v>
      </c>
      <c r="U168" s="411">
        <v>178.07226956745399</v>
      </c>
      <c r="V168" s="411">
        <v>171.96432234069999</v>
      </c>
    </row>
    <row r="169" spans="1:22" x14ac:dyDescent="0.25">
      <c r="A169" s="416" t="s">
        <v>111</v>
      </c>
      <c r="B169" s="416" t="s">
        <v>18</v>
      </c>
      <c r="C169" s="416"/>
      <c r="D169" s="412" t="s">
        <v>660</v>
      </c>
    </row>
    <row r="170" spans="1:22" x14ac:dyDescent="0.25">
      <c r="A170" s="416" t="s">
        <v>111</v>
      </c>
      <c r="B170" s="416" t="s">
        <v>18</v>
      </c>
      <c r="C170" s="416"/>
      <c r="D170" s="412" t="s">
        <v>661</v>
      </c>
    </row>
    <row r="171" spans="1:22" x14ac:dyDescent="0.25">
      <c r="A171" s="416" t="s">
        <v>111</v>
      </c>
      <c r="B171" s="416" t="s">
        <v>18</v>
      </c>
      <c r="C171" s="416"/>
      <c r="D171" s="412" t="s">
        <v>662</v>
      </c>
      <c r="E171" s="411">
        <v>204.671682148325</v>
      </c>
      <c r="F171" s="411">
        <v>297.46076148380803</v>
      </c>
      <c r="G171" s="411">
        <v>358.54411422999101</v>
      </c>
      <c r="H171" s="411">
        <v>427.17631480205699</v>
      </c>
      <c r="I171" s="411">
        <v>441.44613443422298</v>
      </c>
      <c r="J171" s="411">
        <v>411.23960252865197</v>
      </c>
      <c r="K171" s="411">
        <v>195.81028946599</v>
      </c>
      <c r="L171" s="411">
        <v>209.989168342428</v>
      </c>
      <c r="M171" s="411">
        <v>213.107681430778</v>
      </c>
      <c r="N171" s="411">
        <v>307.38592284616499</v>
      </c>
      <c r="O171" s="411">
        <v>366.32722812170198</v>
      </c>
      <c r="P171" s="411">
        <v>436.59963118133697</v>
      </c>
      <c r="Q171" s="411">
        <v>454.765390579768</v>
      </c>
      <c r="R171" s="411">
        <v>421.88732809148598</v>
      </c>
      <c r="S171" s="411">
        <v>320.03357659348001</v>
      </c>
      <c r="T171" s="411">
        <v>223.495283158056</v>
      </c>
      <c r="U171" s="411">
        <v>204.39226956745401</v>
      </c>
      <c r="V171" s="411">
        <v>198.28432234069999</v>
      </c>
    </row>
    <row r="172" spans="1:22" x14ac:dyDescent="0.25">
      <c r="A172" s="416" t="s">
        <v>111</v>
      </c>
      <c r="B172" s="416" t="s">
        <v>18</v>
      </c>
      <c r="C172" s="416"/>
      <c r="D172" s="412" t="s">
        <v>663</v>
      </c>
    </row>
    <row r="173" spans="1:22" x14ac:dyDescent="0.25">
      <c r="A173" s="416" t="s">
        <v>111</v>
      </c>
      <c r="B173" s="416" t="s">
        <v>18</v>
      </c>
      <c r="C173" s="416"/>
      <c r="D173" s="414" t="s">
        <v>664</v>
      </c>
      <c r="E173" s="415">
        <v>3.54132328535503</v>
      </c>
      <c r="F173" s="415">
        <v>4.0825536529198896</v>
      </c>
      <c r="G173" s="415">
        <v>4.6151370530302804</v>
      </c>
      <c r="H173" s="415">
        <v>4.7204926546137003</v>
      </c>
      <c r="I173" s="415">
        <v>4.2816079006073897</v>
      </c>
      <c r="J173" s="415">
        <v>4.61774840312499</v>
      </c>
      <c r="K173" s="415">
        <v>3.6370825733754901</v>
      </c>
      <c r="L173" s="415">
        <v>3.1998593487156</v>
      </c>
      <c r="M173" s="415">
        <v>3.4441400635944199</v>
      </c>
      <c r="N173" s="415">
        <v>2.6697967759149801</v>
      </c>
      <c r="O173" s="415">
        <v>3.6621728781104101</v>
      </c>
      <c r="P173" s="415">
        <v>3.9547219031793199</v>
      </c>
      <c r="Q173" s="415">
        <v>4.3060793499123999</v>
      </c>
      <c r="R173" s="415">
        <v>4.66270835833049</v>
      </c>
      <c r="S173" s="415">
        <v>5.2056863414265502</v>
      </c>
      <c r="T173" s="415">
        <v>5.4531502607765896</v>
      </c>
      <c r="U173" s="415">
        <v>5.0764131270513699</v>
      </c>
      <c r="V173" s="415">
        <v>4.0447960531742</v>
      </c>
    </row>
    <row r="174" spans="1:22" x14ac:dyDescent="0.25">
      <c r="A174" s="416" t="s">
        <v>111</v>
      </c>
      <c r="B174" s="416" t="s">
        <v>18</v>
      </c>
      <c r="C174" s="416" t="s">
        <v>178</v>
      </c>
      <c r="D174" s="413" t="s">
        <v>665</v>
      </c>
      <c r="E174" s="411">
        <v>294.23771350003199</v>
      </c>
      <c r="F174" s="411">
        <v>517.79937563547003</v>
      </c>
      <c r="G174" s="411">
        <v>674.966304746383</v>
      </c>
      <c r="H174" s="411">
        <v>832.518250632025</v>
      </c>
      <c r="I174" s="411">
        <v>781.937377362794</v>
      </c>
      <c r="J174" s="411">
        <v>781.72628464391801</v>
      </c>
      <c r="K174" s="411">
        <v>286.530647754965</v>
      </c>
      <c r="L174" s="411">
        <v>273.38966551833801</v>
      </c>
      <c r="M174" s="411">
        <v>298.56307301153299</v>
      </c>
      <c r="N174" s="411">
        <v>350.37204922873099</v>
      </c>
      <c r="O174" s="411">
        <v>547.33596964536105</v>
      </c>
      <c r="P174" s="411">
        <v>712.67917058688602</v>
      </c>
      <c r="Q174" s="411">
        <v>810.33723446932595</v>
      </c>
      <c r="R174" s="411">
        <v>810.150086840276</v>
      </c>
      <c r="S174" s="411">
        <v>671.726592457675</v>
      </c>
      <c r="T174" s="411">
        <v>513.02921376669497</v>
      </c>
      <c r="U174" s="411">
        <v>425.32442222568898</v>
      </c>
      <c r="V174" s="411">
        <v>322.78308602099798</v>
      </c>
    </row>
    <row r="175" spans="1:22" x14ac:dyDescent="0.25">
      <c r="A175" s="416" t="s">
        <v>111</v>
      </c>
      <c r="B175" s="416" t="s">
        <v>18</v>
      </c>
      <c r="C175" s="416"/>
      <c r="D175" s="412" t="s">
        <v>666</v>
      </c>
    </row>
    <row r="176" spans="1:22" x14ac:dyDescent="0.25">
      <c r="A176" s="416" t="s">
        <v>111</v>
      </c>
      <c r="B176" s="416" t="s">
        <v>18</v>
      </c>
      <c r="C176" s="416"/>
      <c r="D176" s="414" t="s">
        <v>667</v>
      </c>
      <c r="E176" s="415">
        <v>0</v>
      </c>
      <c r="F176" s="415">
        <v>0</v>
      </c>
      <c r="G176" s="415">
        <v>0</v>
      </c>
      <c r="H176" s="415">
        <v>0</v>
      </c>
      <c r="I176" s="415">
        <v>0</v>
      </c>
      <c r="J176" s="415">
        <v>0</v>
      </c>
      <c r="K176" s="415">
        <v>0</v>
      </c>
      <c r="L176" s="415">
        <v>0</v>
      </c>
      <c r="M176" s="415">
        <v>0</v>
      </c>
      <c r="N176" s="415">
        <v>0</v>
      </c>
      <c r="O176" s="415">
        <v>0</v>
      </c>
      <c r="P176" s="415">
        <v>0</v>
      </c>
      <c r="Q176" s="415">
        <v>0</v>
      </c>
      <c r="R176" s="415">
        <v>0</v>
      </c>
      <c r="S176" s="415">
        <v>0</v>
      </c>
      <c r="T176" s="415">
        <v>0</v>
      </c>
      <c r="U176" s="415">
        <v>0</v>
      </c>
      <c r="V176" s="415">
        <v>0</v>
      </c>
    </row>
    <row r="177" spans="1:22" x14ac:dyDescent="0.25">
      <c r="A177" s="416" t="s">
        <v>111</v>
      </c>
      <c r="B177" s="416" t="s">
        <v>18</v>
      </c>
      <c r="C177" s="416" t="s">
        <v>180</v>
      </c>
      <c r="D177" s="413" t="s">
        <v>668</v>
      </c>
      <c r="E177" s="411">
        <v>0</v>
      </c>
      <c r="F177" s="411">
        <v>0</v>
      </c>
      <c r="G177" s="411">
        <v>0</v>
      </c>
      <c r="H177" s="411">
        <v>0</v>
      </c>
      <c r="I177" s="411">
        <v>0</v>
      </c>
      <c r="J177" s="411">
        <v>0</v>
      </c>
      <c r="K177" s="411">
        <v>0</v>
      </c>
      <c r="L177" s="411">
        <v>0</v>
      </c>
      <c r="M177" s="411">
        <v>0</v>
      </c>
      <c r="N177" s="411">
        <v>0</v>
      </c>
      <c r="O177" s="411">
        <v>0</v>
      </c>
      <c r="P177" s="411">
        <v>0</v>
      </c>
      <c r="Q177" s="411">
        <v>0</v>
      </c>
      <c r="R177" s="411">
        <v>0</v>
      </c>
      <c r="S177" s="411">
        <v>0</v>
      </c>
      <c r="T177" s="411">
        <v>0</v>
      </c>
      <c r="U177" s="411">
        <v>0</v>
      </c>
      <c r="V177" s="411">
        <v>0</v>
      </c>
    </row>
    <row r="178" spans="1:22" x14ac:dyDescent="0.25">
      <c r="A178" s="416" t="s">
        <v>111</v>
      </c>
      <c r="B178" s="416" t="s">
        <v>18</v>
      </c>
      <c r="C178" s="416"/>
      <c r="D178" s="412" t="s">
        <v>669</v>
      </c>
    </row>
    <row r="179" spans="1:22" x14ac:dyDescent="0.25">
      <c r="A179" s="416" t="s">
        <v>111</v>
      </c>
      <c r="B179" s="416" t="s">
        <v>18</v>
      </c>
      <c r="C179" s="416"/>
      <c r="D179" s="414" t="s">
        <v>670</v>
      </c>
      <c r="E179" s="415">
        <v>2.90831517292084E-2</v>
      </c>
      <c r="F179" s="415">
        <v>2.90831517292084E-2</v>
      </c>
      <c r="G179" s="415">
        <v>2.90831517292084E-2</v>
      </c>
      <c r="H179" s="415">
        <v>2.90831517292084E-2</v>
      </c>
      <c r="I179" s="415">
        <v>2.90831517292084E-2</v>
      </c>
      <c r="J179" s="415">
        <v>2.90831517292084E-2</v>
      </c>
      <c r="K179" s="415">
        <v>2.90831517292084E-2</v>
      </c>
      <c r="L179" s="415">
        <v>2.90831517292084E-2</v>
      </c>
      <c r="M179" s="415">
        <v>2.90831517292084E-2</v>
      </c>
      <c r="N179" s="415">
        <v>2.90831517292084E-2</v>
      </c>
      <c r="O179" s="415">
        <v>2.90831517292084E-2</v>
      </c>
      <c r="P179" s="415">
        <v>2.90831517292084E-2</v>
      </c>
      <c r="Q179" s="415">
        <v>2.90831517292084E-2</v>
      </c>
      <c r="R179" s="415">
        <v>2.90831517292084E-2</v>
      </c>
      <c r="S179" s="415">
        <v>2.90831517292084E-2</v>
      </c>
      <c r="T179" s="415">
        <v>2.90831517292084E-2</v>
      </c>
      <c r="U179" s="415">
        <v>2.90831517292084E-2</v>
      </c>
      <c r="V179" s="415">
        <v>2.90831517292084E-2</v>
      </c>
    </row>
    <row r="180" spans="1:22" x14ac:dyDescent="0.25">
      <c r="A180" s="416" t="s">
        <v>111</v>
      </c>
      <c r="B180" s="416" t="s">
        <v>18</v>
      </c>
      <c r="C180" s="416" t="s">
        <v>424</v>
      </c>
      <c r="D180" s="413" t="s">
        <v>671</v>
      </c>
      <c r="E180" s="411">
        <v>53.303360906044702</v>
      </c>
      <c r="F180" s="411">
        <v>55.398326178366702</v>
      </c>
      <c r="G180" s="411">
        <v>55.7085096794317</v>
      </c>
      <c r="H180" s="411">
        <v>59.124560688280802</v>
      </c>
      <c r="I180" s="411">
        <v>73.896556388577295</v>
      </c>
      <c r="J180" s="411">
        <v>73.077847819197999</v>
      </c>
      <c r="K180" s="411">
        <v>64.948549774796504</v>
      </c>
      <c r="L180" s="411">
        <v>68.028745598943701</v>
      </c>
      <c r="M180" s="411">
        <v>66.766949474589396</v>
      </c>
      <c r="N180" s="411">
        <v>65.655967806310798</v>
      </c>
      <c r="O180" s="411">
        <v>65.343683256591902</v>
      </c>
      <c r="P180" s="411">
        <v>70.073738032479596</v>
      </c>
      <c r="Q180" s="411">
        <v>84.722974829169502</v>
      </c>
      <c r="R180" s="411">
        <v>83.608161534139498</v>
      </c>
      <c r="S180" s="411">
        <v>82.920591946711099</v>
      </c>
      <c r="T180" s="411">
        <v>78.615919806867097</v>
      </c>
      <c r="U180" s="411">
        <v>80.274846151865702</v>
      </c>
      <c r="V180" s="411">
        <v>77.808412172974897</v>
      </c>
    </row>
    <row r="181" spans="1:22" x14ac:dyDescent="0.25">
      <c r="A181" s="416" t="s">
        <v>111</v>
      </c>
      <c r="B181" s="416" t="s">
        <v>18</v>
      </c>
      <c r="C181" s="416"/>
      <c r="D181" s="412" t="s">
        <v>672</v>
      </c>
      <c r="E181" s="411">
        <v>552.21275655440297</v>
      </c>
      <c r="F181" s="411">
        <v>870.65846329764497</v>
      </c>
      <c r="G181" s="411">
        <v>1089.2189286558</v>
      </c>
      <c r="H181" s="411">
        <v>1318.8191261223601</v>
      </c>
      <c r="I181" s="411">
        <v>1297.2800681855899</v>
      </c>
      <c r="J181" s="411">
        <v>1266.0437349917599</v>
      </c>
      <c r="K181" s="411">
        <v>547.28948699575199</v>
      </c>
      <c r="L181" s="411">
        <v>551.40757945970995</v>
      </c>
      <c r="M181" s="411">
        <v>578.437703916901</v>
      </c>
      <c r="N181" s="411">
        <v>723.41393988120797</v>
      </c>
      <c r="O181" s="411">
        <v>979.00688102365598</v>
      </c>
      <c r="P181" s="411">
        <v>1219.3525398007</v>
      </c>
      <c r="Q181" s="411">
        <v>1349.8255998782599</v>
      </c>
      <c r="R181" s="411">
        <v>1315.6455764658999</v>
      </c>
      <c r="S181" s="411">
        <v>1074.68076099786</v>
      </c>
      <c r="T181" s="411">
        <v>815.14041673161898</v>
      </c>
      <c r="U181" s="411">
        <v>709.99153794500899</v>
      </c>
      <c r="V181" s="411">
        <v>598.87582053467395</v>
      </c>
    </row>
    <row r="182" spans="1:22" s="84" customFormat="1" x14ac:dyDescent="0.25">
      <c r="A182" s="613" t="s">
        <v>101</v>
      </c>
      <c r="B182" s="613" t="s">
        <v>13</v>
      </c>
      <c r="C182" s="613"/>
      <c r="D182" s="643" t="s">
        <v>694</v>
      </c>
    </row>
    <row r="183" spans="1:22" x14ac:dyDescent="0.25">
      <c r="A183" s="416" t="s">
        <v>101</v>
      </c>
      <c r="B183" s="416" t="s">
        <v>13</v>
      </c>
      <c r="C183" s="416"/>
      <c r="D183" s="412" t="s">
        <v>645</v>
      </c>
    </row>
    <row r="184" spans="1:22" x14ac:dyDescent="0.25">
      <c r="A184" s="416" t="s">
        <v>101</v>
      </c>
      <c r="B184" s="416" t="s">
        <v>13</v>
      </c>
      <c r="C184" s="416"/>
      <c r="D184" s="413" t="s">
        <v>646</v>
      </c>
      <c r="E184" s="411">
        <v>1066</v>
      </c>
      <c r="F184" s="411">
        <v>1070</v>
      </c>
      <c r="G184" s="411">
        <v>1078</v>
      </c>
      <c r="H184" s="411">
        <v>1086</v>
      </c>
      <c r="I184" s="411">
        <v>1090</v>
      </c>
      <c r="J184" s="411">
        <v>1090</v>
      </c>
      <c r="K184" s="411">
        <v>1062</v>
      </c>
      <c r="L184" s="411">
        <v>1063</v>
      </c>
      <c r="M184" s="411">
        <v>1063</v>
      </c>
      <c r="N184" s="411">
        <v>1066</v>
      </c>
      <c r="O184" s="411">
        <v>1074</v>
      </c>
      <c r="P184" s="411">
        <v>1083</v>
      </c>
      <c r="Q184" s="411">
        <v>1087</v>
      </c>
      <c r="R184" s="411">
        <v>1087</v>
      </c>
      <c r="S184" s="411">
        <v>1086</v>
      </c>
      <c r="T184" s="411">
        <v>1081</v>
      </c>
      <c r="U184" s="411">
        <v>1072</v>
      </c>
      <c r="V184" s="411">
        <v>1065</v>
      </c>
    </row>
    <row r="185" spans="1:22" x14ac:dyDescent="0.25">
      <c r="A185" s="416" t="s">
        <v>101</v>
      </c>
      <c r="B185" s="416" t="s">
        <v>13</v>
      </c>
      <c r="C185" s="416"/>
      <c r="D185" s="413" t="s">
        <v>647</v>
      </c>
      <c r="E185" s="411">
        <v>44</v>
      </c>
      <c r="F185" s="411">
        <v>45</v>
      </c>
      <c r="G185" s="411">
        <v>45</v>
      </c>
      <c r="H185" s="411">
        <v>45</v>
      </c>
      <c r="I185" s="411">
        <v>45</v>
      </c>
      <c r="J185" s="411">
        <v>45</v>
      </c>
      <c r="K185" s="411">
        <v>44</v>
      </c>
      <c r="L185" s="411">
        <v>44</v>
      </c>
      <c r="M185" s="411">
        <v>44</v>
      </c>
      <c r="N185" s="411">
        <v>44</v>
      </c>
      <c r="O185" s="411">
        <v>45</v>
      </c>
      <c r="P185" s="411">
        <v>45</v>
      </c>
      <c r="Q185" s="411">
        <v>45</v>
      </c>
      <c r="R185" s="411">
        <v>45</v>
      </c>
      <c r="S185" s="411">
        <v>45</v>
      </c>
      <c r="T185" s="411">
        <v>45</v>
      </c>
      <c r="U185" s="411">
        <v>45</v>
      </c>
      <c r="V185" s="411">
        <v>44</v>
      </c>
    </row>
    <row r="186" spans="1:22" x14ac:dyDescent="0.25">
      <c r="A186" s="416" t="s">
        <v>101</v>
      </c>
      <c r="B186" s="416" t="s">
        <v>13</v>
      </c>
      <c r="C186" s="416"/>
      <c r="D186" s="413" t="s">
        <v>648</v>
      </c>
      <c r="E186" s="411">
        <v>1110</v>
      </c>
      <c r="F186" s="411">
        <v>1115</v>
      </c>
      <c r="G186" s="411">
        <v>1123</v>
      </c>
      <c r="H186" s="411">
        <v>1131</v>
      </c>
      <c r="I186" s="411">
        <v>1135</v>
      </c>
      <c r="J186" s="411">
        <v>1135</v>
      </c>
      <c r="K186" s="411">
        <v>1106</v>
      </c>
      <c r="L186" s="411">
        <v>1107</v>
      </c>
      <c r="M186" s="411">
        <v>1107</v>
      </c>
      <c r="N186" s="411">
        <v>1110</v>
      </c>
      <c r="O186" s="411">
        <v>1119</v>
      </c>
      <c r="P186" s="411">
        <v>1128</v>
      </c>
      <c r="Q186" s="411">
        <v>1132</v>
      </c>
      <c r="R186" s="411">
        <v>1132</v>
      </c>
      <c r="S186" s="411">
        <v>1131</v>
      </c>
      <c r="T186" s="411">
        <v>1126</v>
      </c>
      <c r="U186" s="411">
        <v>1117</v>
      </c>
      <c r="V186" s="411">
        <v>1109</v>
      </c>
    </row>
    <row r="187" spans="1:22" x14ac:dyDescent="0.25">
      <c r="A187" s="416" t="s">
        <v>101</v>
      </c>
      <c r="B187" s="416" t="s">
        <v>13</v>
      </c>
      <c r="C187" s="416"/>
      <c r="D187" s="413" t="s">
        <v>649</v>
      </c>
      <c r="E187" s="411">
        <v>40</v>
      </c>
      <c r="F187" s="411">
        <v>40</v>
      </c>
      <c r="G187" s="411">
        <v>40</v>
      </c>
      <c r="H187" s="411">
        <v>40</v>
      </c>
      <c r="I187" s="411">
        <v>40</v>
      </c>
      <c r="J187" s="411">
        <v>40</v>
      </c>
      <c r="K187" s="411">
        <v>40</v>
      </c>
      <c r="L187" s="411">
        <v>40</v>
      </c>
      <c r="M187" s="411">
        <v>40</v>
      </c>
      <c r="N187" s="411">
        <v>40</v>
      </c>
      <c r="O187" s="411">
        <v>40</v>
      </c>
      <c r="P187" s="411">
        <v>40</v>
      </c>
      <c r="Q187" s="411">
        <v>40</v>
      </c>
      <c r="R187" s="411">
        <v>40</v>
      </c>
      <c r="S187" s="411">
        <v>40</v>
      </c>
      <c r="T187" s="411">
        <v>40</v>
      </c>
      <c r="U187" s="411">
        <v>40</v>
      </c>
      <c r="V187" s="411">
        <v>40</v>
      </c>
    </row>
    <row r="188" spans="1:22" x14ac:dyDescent="0.25">
      <c r="A188" s="416" t="s">
        <v>101</v>
      </c>
      <c r="B188" s="416" t="s">
        <v>13</v>
      </c>
      <c r="C188" s="416"/>
      <c r="D188" s="413" t="s">
        <v>650</v>
      </c>
      <c r="E188" s="411">
        <v>180</v>
      </c>
      <c r="F188" s="411">
        <v>180</v>
      </c>
      <c r="G188" s="411">
        <v>180</v>
      </c>
      <c r="H188" s="411">
        <v>180</v>
      </c>
      <c r="I188" s="411">
        <v>180</v>
      </c>
      <c r="J188" s="411">
        <v>180</v>
      </c>
      <c r="K188" s="411">
        <v>180</v>
      </c>
      <c r="L188" s="411">
        <v>180</v>
      </c>
      <c r="M188" s="411">
        <v>180</v>
      </c>
      <c r="N188" s="411">
        <v>180</v>
      </c>
      <c r="O188" s="411">
        <v>180</v>
      </c>
      <c r="P188" s="411">
        <v>180</v>
      </c>
      <c r="Q188" s="411">
        <v>180</v>
      </c>
      <c r="R188" s="411">
        <v>180</v>
      </c>
      <c r="S188" s="411">
        <v>180</v>
      </c>
      <c r="T188" s="411">
        <v>180</v>
      </c>
      <c r="U188" s="411">
        <v>180</v>
      </c>
      <c r="V188" s="411">
        <v>180</v>
      </c>
    </row>
    <row r="189" spans="1:22" x14ac:dyDescent="0.25">
      <c r="A189" s="416" t="s">
        <v>101</v>
      </c>
      <c r="B189" s="416" t="s">
        <v>13</v>
      </c>
      <c r="C189" s="416" t="s">
        <v>154</v>
      </c>
      <c r="D189" s="412" t="s">
        <v>651</v>
      </c>
      <c r="E189" s="411">
        <v>50.56</v>
      </c>
      <c r="F189" s="411">
        <v>50.9</v>
      </c>
      <c r="G189" s="411">
        <v>51.22</v>
      </c>
      <c r="H189" s="411">
        <v>51.54</v>
      </c>
      <c r="I189" s="411">
        <v>51.7</v>
      </c>
      <c r="J189" s="411">
        <v>51.7</v>
      </c>
      <c r="K189" s="411">
        <v>50.4</v>
      </c>
      <c r="L189" s="411">
        <v>50.44</v>
      </c>
      <c r="M189" s="411">
        <v>50.44</v>
      </c>
      <c r="N189" s="411">
        <v>50.56</v>
      </c>
      <c r="O189" s="411">
        <v>51.06</v>
      </c>
      <c r="P189" s="411">
        <v>51.42</v>
      </c>
      <c r="Q189" s="411">
        <v>51.58</v>
      </c>
      <c r="R189" s="411">
        <v>51.58</v>
      </c>
      <c r="S189" s="411">
        <v>51.54</v>
      </c>
      <c r="T189" s="411">
        <v>51.34</v>
      </c>
      <c r="U189" s="411">
        <v>50.98</v>
      </c>
      <c r="V189" s="411">
        <v>50.52</v>
      </c>
    </row>
    <row r="190" spans="1:22" x14ac:dyDescent="0.25">
      <c r="A190" s="416" t="s">
        <v>101</v>
      </c>
      <c r="B190" s="416" t="s">
        <v>13</v>
      </c>
      <c r="C190" s="416"/>
      <c r="D190" s="412" t="s">
        <v>652</v>
      </c>
    </row>
    <row r="191" spans="1:22" x14ac:dyDescent="0.25">
      <c r="A191" s="416" t="s">
        <v>101</v>
      </c>
      <c r="B191" s="416" t="s">
        <v>13</v>
      </c>
      <c r="C191" s="416"/>
      <c r="D191" s="413" t="s">
        <v>653</v>
      </c>
      <c r="E191" s="411">
        <v>37024.514320000002</v>
      </c>
      <c r="F191" s="411">
        <v>57249.150329999997</v>
      </c>
      <c r="G191" s="411">
        <v>99186.685660000003</v>
      </c>
      <c r="H191" s="411">
        <v>176590.9215</v>
      </c>
      <c r="I191" s="411">
        <v>211360.0325</v>
      </c>
      <c r="J191" s="411">
        <v>185449.66889999999</v>
      </c>
      <c r="K191" s="411">
        <v>32731.13106</v>
      </c>
      <c r="L191" s="411">
        <v>34839.307220000002</v>
      </c>
      <c r="M191" s="411">
        <v>36414.663919999999</v>
      </c>
      <c r="N191" s="411">
        <v>56148.060660000003</v>
      </c>
      <c r="O191" s="411">
        <v>96845.205069999996</v>
      </c>
      <c r="P191" s="411">
        <v>173703.16329999999</v>
      </c>
      <c r="Q191" s="411">
        <v>210768.85630000001</v>
      </c>
      <c r="R191" s="411">
        <v>184607.22080000001</v>
      </c>
      <c r="S191" s="411">
        <v>135636.01319999999</v>
      </c>
      <c r="T191" s="411">
        <v>75280.335659999997</v>
      </c>
      <c r="U191" s="411">
        <v>45511.014470000002</v>
      </c>
      <c r="V191" s="411">
        <v>34109.871930000001</v>
      </c>
    </row>
    <row r="192" spans="1:22" x14ac:dyDescent="0.25">
      <c r="A192" s="416" t="s">
        <v>101</v>
      </c>
      <c r="B192" s="416" t="s">
        <v>13</v>
      </c>
      <c r="C192" s="416"/>
      <c r="D192" s="413" t="s">
        <v>654</v>
      </c>
      <c r="E192" s="411">
        <v>1145.088072</v>
      </c>
      <c r="F192" s="411">
        <v>2385.3812640000001</v>
      </c>
      <c r="G192" s="411">
        <v>8624.9291880000001</v>
      </c>
      <c r="H192" s="411">
        <v>19621.213500000002</v>
      </c>
      <c r="I192" s="411">
        <v>40259.053800000002</v>
      </c>
      <c r="J192" s="411">
        <v>32726.41216</v>
      </c>
      <c r="K192" s="411">
        <v>1012.3030220000001</v>
      </c>
      <c r="L192" s="411">
        <v>1077.5043470000001</v>
      </c>
      <c r="M192" s="411">
        <v>1126.226719</v>
      </c>
      <c r="N192" s="411">
        <v>2339.5025270000001</v>
      </c>
      <c r="O192" s="411">
        <v>8421.3221799999992</v>
      </c>
      <c r="P192" s="411">
        <v>19300.351480000001</v>
      </c>
      <c r="Q192" s="411">
        <v>40146.448830000001</v>
      </c>
      <c r="R192" s="411">
        <v>32577.744849999999</v>
      </c>
      <c r="S192" s="411">
        <v>16764.001629999999</v>
      </c>
      <c r="T192" s="411">
        <v>3962.1229290000001</v>
      </c>
      <c r="U192" s="411">
        <v>1896.2922699999999</v>
      </c>
      <c r="V192" s="411">
        <v>1421.2446640000001</v>
      </c>
    </row>
    <row r="193" spans="1:22" x14ac:dyDescent="0.25">
      <c r="A193" s="416" t="s">
        <v>101</v>
      </c>
      <c r="B193" s="416" t="s">
        <v>13</v>
      </c>
      <c r="C193" s="416"/>
      <c r="D193" s="414" t="s">
        <v>655</v>
      </c>
      <c r="E193" s="415">
        <v>38.169602392000002</v>
      </c>
      <c r="F193" s="415">
        <v>59.634531594000002</v>
      </c>
      <c r="G193" s="415">
        <v>107.811614848</v>
      </c>
      <c r="H193" s="415">
        <v>196.21213499999999</v>
      </c>
      <c r="I193" s="415">
        <v>251.61908629999999</v>
      </c>
      <c r="J193" s="415">
        <v>218.17608106</v>
      </c>
      <c r="K193" s="415">
        <v>33.743434082</v>
      </c>
      <c r="L193" s="415">
        <v>35.916811567000003</v>
      </c>
      <c r="M193" s="415">
        <v>37.540890638999997</v>
      </c>
      <c r="N193" s="415">
        <v>58.487563186999999</v>
      </c>
      <c r="O193" s="415">
        <v>105.26652725</v>
      </c>
      <c r="P193" s="415">
        <v>193.00351477999999</v>
      </c>
      <c r="Q193" s="415">
        <v>250.91530513000001</v>
      </c>
      <c r="R193" s="415">
        <v>217.18496565000001</v>
      </c>
      <c r="S193" s="415">
        <v>152.40001483</v>
      </c>
      <c r="T193" s="415">
        <v>79.242458588999995</v>
      </c>
      <c r="U193" s="415">
        <v>47.407306740000003</v>
      </c>
      <c r="V193" s="415">
        <v>35.531116593999997</v>
      </c>
    </row>
    <row r="194" spans="1:22" x14ac:dyDescent="0.25">
      <c r="A194" s="416" t="s">
        <v>101</v>
      </c>
      <c r="B194" s="416" t="s">
        <v>13</v>
      </c>
      <c r="C194" s="416"/>
      <c r="D194" s="414" t="s">
        <v>656</v>
      </c>
      <c r="E194" s="415">
        <v>2.1503999999999999</v>
      </c>
      <c r="F194" s="415">
        <v>2.1503999999999999</v>
      </c>
      <c r="G194" s="415">
        <v>2.1503999999999999</v>
      </c>
      <c r="H194" s="415">
        <v>2.1503999999999999</v>
      </c>
      <c r="I194" s="415">
        <v>2.1503999999999999</v>
      </c>
      <c r="J194" s="415">
        <v>2.1503999999999999</v>
      </c>
      <c r="K194" s="415">
        <v>2.1503999999999999</v>
      </c>
      <c r="L194" s="415">
        <v>2.1503999999999999</v>
      </c>
      <c r="M194" s="415">
        <v>2.1503999999999999</v>
      </c>
      <c r="N194" s="415">
        <v>2.1503999999999999</v>
      </c>
      <c r="O194" s="415">
        <v>2.1503999999999999</v>
      </c>
      <c r="P194" s="415">
        <v>2.1503999999999999</v>
      </c>
      <c r="Q194" s="415">
        <v>2.1503999999999999</v>
      </c>
      <c r="R194" s="415">
        <v>2.1503999999999999</v>
      </c>
      <c r="S194" s="415">
        <v>2.1503999999999999</v>
      </c>
      <c r="T194" s="415">
        <v>2.1503999999999999</v>
      </c>
      <c r="U194" s="415">
        <v>2.1503999999999999</v>
      </c>
      <c r="V194" s="415">
        <v>2.1503999999999999</v>
      </c>
    </row>
    <row r="195" spans="1:22" x14ac:dyDescent="0.25">
      <c r="A195" s="416" t="s">
        <v>101</v>
      </c>
      <c r="B195" s="416" t="s">
        <v>13</v>
      </c>
      <c r="C195" s="416"/>
      <c r="D195" s="414" t="s">
        <v>657</v>
      </c>
      <c r="E195" s="415">
        <v>2.1503999999999999</v>
      </c>
      <c r="F195" s="415">
        <v>2.1503999999999999</v>
      </c>
      <c r="G195" s="415">
        <v>2.1503999999999999</v>
      </c>
      <c r="H195" s="415">
        <v>2.1503999999999999</v>
      </c>
      <c r="I195" s="415">
        <v>2.1503999999999999</v>
      </c>
      <c r="J195" s="415">
        <v>2.1503999999999999</v>
      </c>
      <c r="K195" s="415">
        <v>2.1503999999999999</v>
      </c>
      <c r="L195" s="415">
        <v>2.1503999999999999</v>
      </c>
      <c r="M195" s="415">
        <v>2.1503999999999999</v>
      </c>
      <c r="N195" s="415">
        <v>2.1503999999999999</v>
      </c>
      <c r="O195" s="415">
        <v>2.1503999999999999</v>
      </c>
      <c r="P195" s="415">
        <v>2.1503999999999999</v>
      </c>
      <c r="Q195" s="415">
        <v>2.1503999999999999</v>
      </c>
      <c r="R195" s="415">
        <v>2.1503999999999999</v>
      </c>
      <c r="S195" s="415">
        <v>2.1503999999999999</v>
      </c>
      <c r="T195" s="415">
        <v>2.1503999999999999</v>
      </c>
      <c r="U195" s="415">
        <v>2.1503999999999999</v>
      </c>
      <c r="V195" s="415">
        <v>2.1503999999999999</v>
      </c>
    </row>
    <row r="196" spans="1:22" x14ac:dyDescent="0.25">
      <c r="A196" s="416" t="s">
        <v>101</v>
      </c>
      <c r="B196" s="416" t="s">
        <v>13</v>
      </c>
      <c r="C196" s="416"/>
      <c r="D196" s="414" t="s">
        <v>658</v>
      </c>
      <c r="E196" s="415">
        <v>1.6504000000000001</v>
      </c>
      <c r="F196" s="415">
        <v>1.6504000000000001</v>
      </c>
      <c r="G196" s="415">
        <v>2.1503999999999999</v>
      </c>
      <c r="H196" s="415">
        <v>2.1503999999999999</v>
      </c>
      <c r="I196" s="415">
        <v>2.1503999999999999</v>
      </c>
      <c r="J196" s="415">
        <v>2.1503999999999999</v>
      </c>
      <c r="K196" s="415">
        <v>1.6504000000000001</v>
      </c>
      <c r="L196" s="415">
        <v>1.6504000000000001</v>
      </c>
      <c r="M196" s="415">
        <v>1.6504000000000001</v>
      </c>
      <c r="N196" s="415">
        <v>1.6504000000000001</v>
      </c>
      <c r="O196" s="415">
        <v>2.1503999999999999</v>
      </c>
      <c r="P196" s="415">
        <v>2.1503999999999999</v>
      </c>
      <c r="Q196" s="415">
        <v>2.1503999999999999</v>
      </c>
      <c r="R196" s="415">
        <v>2.1503999999999999</v>
      </c>
      <c r="S196" s="415">
        <v>2.1503999999999999</v>
      </c>
      <c r="T196" s="415">
        <v>1.6504000000000001</v>
      </c>
      <c r="U196" s="415">
        <v>1.6504000000000001</v>
      </c>
      <c r="V196" s="415">
        <v>1.6504000000000001</v>
      </c>
    </row>
    <row r="197" spans="1:22" x14ac:dyDescent="0.25">
      <c r="A197" s="416" t="s">
        <v>101</v>
      </c>
      <c r="B197" s="416" t="s">
        <v>13</v>
      </c>
      <c r="C197" s="416" t="s">
        <v>436</v>
      </c>
      <c r="D197" s="412" t="s">
        <v>659</v>
      </c>
      <c r="E197" s="411">
        <v>81.507368947756802</v>
      </c>
      <c r="F197" s="411">
        <v>127.04540610773699</v>
      </c>
      <c r="G197" s="411">
        <v>231.838096569139</v>
      </c>
      <c r="H197" s="411">
        <v>421.93457510399901</v>
      </c>
      <c r="I197" s="411">
        <v>541.08168317951902</v>
      </c>
      <c r="J197" s="411">
        <v>469.16584471142397</v>
      </c>
      <c r="K197" s="411">
        <v>72.055729138932804</v>
      </c>
      <c r="L197" s="411">
        <v>76.696759420176804</v>
      </c>
      <c r="M197" s="411">
        <v>80.164817870605503</v>
      </c>
      <c r="N197" s="411">
        <v>124.601904613824</v>
      </c>
      <c r="O197" s="411">
        <v>226.36514019839899</v>
      </c>
      <c r="P197" s="411">
        <v>415.03475818291099</v>
      </c>
      <c r="Q197" s="411">
        <v>539.56827215155204</v>
      </c>
      <c r="R197" s="411">
        <v>467.03455013375998</v>
      </c>
      <c r="S197" s="411">
        <v>327.72099189043098</v>
      </c>
      <c r="T197" s="411">
        <v>168.421921485285</v>
      </c>
      <c r="U197" s="411">
        <v>100.996526278696</v>
      </c>
      <c r="V197" s="411">
        <v>75.695490791737598</v>
      </c>
    </row>
    <row r="198" spans="1:22" x14ac:dyDescent="0.25">
      <c r="A198" s="416" t="s">
        <v>101</v>
      </c>
      <c r="B198" s="416" t="s">
        <v>13</v>
      </c>
      <c r="C198" s="416"/>
      <c r="D198" s="412" t="s">
        <v>660</v>
      </c>
    </row>
    <row r="199" spans="1:22" x14ac:dyDescent="0.25">
      <c r="A199" s="416" t="s">
        <v>101</v>
      </c>
      <c r="B199" s="416" t="s">
        <v>13</v>
      </c>
      <c r="C199" s="416"/>
      <c r="D199" s="412" t="s">
        <v>661</v>
      </c>
    </row>
    <row r="200" spans="1:22" x14ac:dyDescent="0.25">
      <c r="A200" s="416" t="s">
        <v>101</v>
      </c>
      <c r="B200" s="416" t="s">
        <v>13</v>
      </c>
      <c r="C200" s="416"/>
      <c r="D200" s="412" t="s">
        <v>662</v>
      </c>
      <c r="E200" s="411">
        <v>132.06736894775599</v>
      </c>
      <c r="F200" s="411">
        <v>177.945406107737</v>
      </c>
      <c r="G200" s="411">
        <v>283.05809656913902</v>
      </c>
      <c r="H200" s="411">
        <v>473.47457510399897</v>
      </c>
      <c r="I200" s="411">
        <v>592.78168317951997</v>
      </c>
      <c r="J200" s="411">
        <v>520.86584471142396</v>
      </c>
      <c r="K200" s="411">
        <v>122.455729138932</v>
      </c>
      <c r="L200" s="411">
        <v>127.13675942017601</v>
      </c>
      <c r="M200" s="411">
        <v>130.60481787060499</v>
      </c>
      <c r="N200" s="411">
        <v>175.16190461382399</v>
      </c>
      <c r="O200" s="411">
        <v>277.42514019839899</v>
      </c>
      <c r="P200" s="411">
        <v>466.45475818291101</v>
      </c>
      <c r="Q200" s="411">
        <v>591.14827215155196</v>
      </c>
      <c r="R200" s="411">
        <v>518.61455013375996</v>
      </c>
      <c r="S200" s="411">
        <v>379.260991890431</v>
      </c>
      <c r="T200" s="411">
        <v>219.761921485285</v>
      </c>
      <c r="U200" s="411">
        <v>151.97652627869499</v>
      </c>
      <c r="V200" s="411">
        <v>126.215490791737</v>
      </c>
    </row>
    <row r="201" spans="1:22" x14ac:dyDescent="0.25">
      <c r="A201" s="416" t="s">
        <v>101</v>
      </c>
      <c r="B201" s="416" t="s">
        <v>13</v>
      </c>
      <c r="C201" s="416"/>
      <c r="D201" s="412" t="s">
        <v>663</v>
      </c>
    </row>
    <row r="202" spans="1:22" x14ac:dyDescent="0.25">
      <c r="A202" s="416" t="s">
        <v>101</v>
      </c>
      <c r="B202" s="416" t="s">
        <v>13</v>
      </c>
      <c r="C202" s="416"/>
      <c r="D202" s="414" t="s">
        <v>664</v>
      </c>
      <c r="E202" s="415">
        <v>3.54132328535503</v>
      </c>
      <c r="F202" s="415">
        <v>4.0825536529198896</v>
      </c>
      <c r="G202" s="415">
        <v>4.6151370530302804</v>
      </c>
      <c r="H202" s="415">
        <v>4.7204926546137003</v>
      </c>
      <c r="I202" s="415">
        <v>4.2816079006073897</v>
      </c>
      <c r="J202" s="415">
        <v>4.61774840312499</v>
      </c>
      <c r="K202" s="415">
        <v>3.6370825733754901</v>
      </c>
      <c r="L202" s="415">
        <v>3.1998593487156</v>
      </c>
      <c r="M202" s="415">
        <v>3.4441400635944199</v>
      </c>
      <c r="N202" s="415">
        <v>2.6697967759149801</v>
      </c>
      <c r="O202" s="415">
        <v>3.6621728781104101</v>
      </c>
      <c r="P202" s="415">
        <v>3.9547219031793199</v>
      </c>
      <c r="Q202" s="415">
        <v>4.3060793499123999</v>
      </c>
      <c r="R202" s="415">
        <v>4.66270835833049</v>
      </c>
      <c r="S202" s="415">
        <v>5.2056863414265502</v>
      </c>
      <c r="T202" s="415">
        <v>5.4531502607765896</v>
      </c>
      <c r="U202" s="415">
        <v>5.0764131270513699</v>
      </c>
      <c r="V202" s="415">
        <v>4.0447960531742</v>
      </c>
    </row>
    <row r="203" spans="1:22" x14ac:dyDescent="0.25">
      <c r="A203" s="416" t="s">
        <v>101</v>
      </c>
      <c r="B203" s="416" t="s">
        <v>13</v>
      </c>
      <c r="C203" s="416" t="s">
        <v>178</v>
      </c>
      <c r="D203" s="413" t="s">
        <v>665</v>
      </c>
      <c r="E203" s="411">
        <v>135.170901743532</v>
      </c>
      <c r="F203" s="411">
        <v>243.46117479925101</v>
      </c>
      <c r="G203" s="411">
        <v>497.56537843203398</v>
      </c>
      <c r="H203" s="411">
        <v>926.21794201357204</v>
      </c>
      <c r="I203" s="411">
        <v>1077.33426784569</v>
      </c>
      <c r="J203" s="411">
        <v>1007.48224991488</v>
      </c>
      <c r="K203" s="411">
        <v>122.727656065486</v>
      </c>
      <c r="L203" s="411">
        <v>114.928745268721</v>
      </c>
      <c r="M203" s="411">
        <v>129.29608547279599</v>
      </c>
      <c r="N203" s="411">
        <v>156.149907627776</v>
      </c>
      <c r="O203" s="411">
        <v>385.50422106782003</v>
      </c>
      <c r="P203" s="411">
        <v>763.27522729105897</v>
      </c>
      <c r="Q203" s="411">
        <v>1080.4612139972601</v>
      </c>
      <c r="R203" s="411">
        <v>1012.67015463997</v>
      </c>
      <c r="S203" s="411">
        <v>793.346675633735</v>
      </c>
      <c r="T203" s="411">
        <v>432.121033719183</v>
      </c>
      <c r="U203" s="411">
        <v>240.659074253086</v>
      </c>
      <c r="V203" s="411">
        <v>143.71612016428301</v>
      </c>
    </row>
    <row r="204" spans="1:22" x14ac:dyDescent="0.25">
      <c r="A204" s="416" t="s">
        <v>101</v>
      </c>
      <c r="B204" s="416" t="s">
        <v>13</v>
      </c>
      <c r="C204" s="416"/>
      <c r="D204" s="412" t="s">
        <v>666</v>
      </c>
    </row>
    <row r="205" spans="1:22" x14ac:dyDescent="0.25">
      <c r="A205" s="416" t="s">
        <v>101</v>
      </c>
      <c r="B205" s="416" t="s">
        <v>13</v>
      </c>
      <c r="C205" s="416"/>
      <c r="D205" s="414" t="s">
        <v>667</v>
      </c>
      <c r="E205" s="415">
        <v>0.34906843462946002</v>
      </c>
      <c r="F205" s="415">
        <v>0.16939007523933</v>
      </c>
      <c r="G205" s="415">
        <v>9.4024398016510996E-2</v>
      </c>
      <c r="H205" s="415">
        <v>7.9005885786712304E-2</v>
      </c>
      <c r="I205" s="415">
        <v>4.2818241030573301E-2</v>
      </c>
      <c r="J205" s="415">
        <v>5.3348528484577801E-2</v>
      </c>
      <c r="K205" s="415">
        <v>0.24690512534735301</v>
      </c>
      <c r="L205" s="415">
        <v>0.286805863570613</v>
      </c>
      <c r="M205" s="415">
        <v>0.2714755224323</v>
      </c>
      <c r="N205" s="415">
        <v>0.23977615362243901</v>
      </c>
      <c r="O205" s="415">
        <v>0.112823983088882</v>
      </c>
      <c r="P205" s="415">
        <v>3.1676324500992899E-2</v>
      </c>
      <c r="Q205" s="415">
        <v>5.1767532114618299E-2</v>
      </c>
      <c r="R205" s="415">
        <v>6.4560825100963504E-2</v>
      </c>
      <c r="S205" s="415">
        <v>0.10990553607190399</v>
      </c>
      <c r="T205" s="415">
        <v>0.18637651503338701</v>
      </c>
      <c r="U205" s="415">
        <v>0.28860955010716799</v>
      </c>
      <c r="V205" s="415">
        <v>0.33287319112658798</v>
      </c>
    </row>
    <row r="206" spans="1:22" x14ac:dyDescent="0.25">
      <c r="A206" s="416" t="s">
        <v>101</v>
      </c>
      <c r="B206" s="416" t="s">
        <v>13</v>
      </c>
      <c r="C206" s="416" t="s">
        <v>180</v>
      </c>
      <c r="D206" s="413" t="s">
        <v>668</v>
      </c>
      <c r="E206" s="411">
        <v>13.3238033574043</v>
      </c>
      <c r="F206" s="411">
        <v>10.1014977935698</v>
      </c>
      <c r="G206" s="411">
        <v>10.1369221852711</v>
      </c>
      <c r="H206" s="411">
        <v>15.5019135277769</v>
      </c>
      <c r="I206" s="411">
        <v>10.773886685086</v>
      </c>
      <c r="J206" s="411">
        <v>11.6393728750829</v>
      </c>
      <c r="K206" s="411">
        <v>8.3314268216663692</v>
      </c>
      <c r="L206" s="411">
        <v>10.3011521581764</v>
      </c>
      <c r="M206" s="411">
        <v>10.1914328987963</v>
      </c>
      <c r="N206" s="411">
        <v>14.0239229357282</v>
      </c>
      <c r="O206" s="411">
        <v>11.876588890279301</v>
      </c>
      <c r="P206" s="411">
        <v>6.1136419640034596</v>
      </c>
      <c r="Q206" s="411">
        <v>12.989266116366499</v>
      </c>
      <c r="R206" s="411">
        <v>14.0216405818884</v>
      </c>
      <c r="S206" s="411">
        <v>16.7496053272572</v>
      </c>
      <c r="T206" s="411">
        <v>14.7689332744953</v>
      </c>
      <c r="U206" s="411">
        <v>13.6822014700239</v>
      </c>
      <c r="V206" s="411">
        <v>11.827356164935599</v>
      </c>
    </row>
    <row r="207" spans="1:22" x14ac:dyDescent="0.25">
      <c r="A207" s="416" t="s">
        <v>101</v>
      </c>
      <c r="B207" s="416" t="s">
        <v>13</v>
      </c>
      <c r="C207" s="416"/>
      <c r="D207" s="412" t="s">
        <v>669</v>
      </c>
    </row>
    <row r="208" spans="1:22" x14ac:dyDescent="0.25">
      <c r="A208" s="416" t="s">
        <v>101</v>
      </c>
      <c r="B208" s="416" t="s">
        <v>13</v>
      </c>
      <c r="C208" s="416"/>
      <c r="D208" s="414" t="s">
        <v>670</v>
      </c>
      <c r="E208" s="415">
        <v>0.289271550125482</v>
      </c>
      <c r="F208" s="415">
        <v>0.289271550125482</v>
      </c>
      <c r="G208" s="415">
        <v>0.289271550125482</v>
      </c>
      <c r="H208" s="415">
        <v>0.289271550125482</v>
      </c>
      <c r="I208" s="415">
        <v>0.289271550125482</v>
      </c>
      <c r="J208" s="415">
        <v>0.289271550125482</v>
      </c>
      <c r="K208" s="415">
        <v>0.289271550125482</v>
      </c>
      <c r="L208" s="415">
        <v>0.289271550125482</v>
      </c>
      <c r="M208" s="415">
        <v>0.289271550125482</v>
      </c>
      <c r="N208" s="415">
        <v>0.289271550125482</v>
      </c>
      <c r="O208" s="415">
        <v>0.289271550125482</v>
      </c>
      <c r="P208" s="415">
        <v>0.289271550125482</v>
      </c>
      <c r="Q208" s="415">
        <v>0.289271550125482</v>
      </c>
      <c r="R208" s="415">
        <v>0.289271550125482</v>
      </c>
      <c r="S208" s="415">
        <v>0.289271550125482</v>
      </c>
      <c r="T208" s="415">
        <v>0.289271550125482</v>
      </c>
      <c r="U208" s="415">
        <v>0.289271550125482</v>
      </c>
      <c r="V208" s="415">
        <v>0.289271550125482</v>
      </c>
    </row>
    <row r="209" spans="1:22" x14ac:dyDescent="0.25">
      <c r="A209" s="416" t="s">
        <v>101</v>
      </c>
      <c r="B209" s="416" t="s">
        <v>13</v>
      </c>
      <c r="C209" s="416" t="s">
        <v>424</v>
      </c>
      <c r="D209" s="413" t="s">
        <v>671</v>
      </c>
      <c r="E209" s="411">
        <v>58.558142467099302</v>
      </c>
      <c r="F209" s="411">
        <v>65.416529315059094</v>
      </c>
      <c r="G209" s="411">
        <v>69.441096384926993</v>
      </c>
      <c r="H209" s="411">
        <v>74.381848830067099</v>
      </c>
      <c r="I209" s="411">
        <v>90.574013818539001</v>
      </c>
      <c r="J209" s="411">
        <v>88.194751828564705</v>
      </c>
      <c r="K209" s="411">
        <v>69.987527470244601</v>
      </c>
      <c r="L209" s="411">
        <v>71.087750544082297</v>
      </c>
      <c r="M209" s="411">
        <v>72.400056579234899</v>
      </c>
      <c r="N209" s="411">
        <v>77.276870919021704</v>
      </c>
      <c r="O209" s="411">
        <v>85.064100721635199</v>
      </c>
      <c r="P209" s="411">
        <v>90.026254589712593</v>
      </c>
      <c r="Q209" s="411">
        <v>103.78556616920901</v>
      </c>
      <c r="R209" s="411">
        <v>100.876210247708</v>
      </c>
      <c r="S209" s="411">
        <v>100.485886522339</v>
      </c>
      <c r="T209" s="411">
        <v>93.562901475410598</v>
      </c>
      <c r="U209" s="411">
        <v>90.095599717042205</v>
      </c>
      <c r="V209" s="411">
        <v>82.952096627711796</v>
      </c>
    </row>
    <row r="210" spans="1:22" x14ac:dyDescent="0.25">
      <c r="A210" s="416" t="s">
        <v>101</v>
      </c>
      <c r="B210" s="416" t="s">
        <v>13</v>
      </c>
      <c r="C210" s="416"/>
      <c r="D210" s="412" t="s">
        <v>672</v>
      </c>
      <c r="E210" s="411">
        <v>339.120216515793</v>
      </c>
      <c r="F210" s="411">
        <v>496.92460801561799</v>
      </c>
      <c r="G210" s="411">
        <v>860.201493571372</v>
      </c>
      <c r="H210" s="411">
        <v>1489.57627947541</v>
      </c>
      <c r="I210" s="411">
        <v>1771.46385152883</v>
      </c>
      <c r="J210" s="411">
        <v>1628.1822193299499</v>
      </c>
      <c r="K210" s="411">
        <v>323.50233949633002</v>
      </c>
      <c r="L210" s="411">
        <v>323.45440739115702</v>
      </c>
      <c r="M210" s="411">
        <v>342.49239282143299</v>
      </c>
      <c r="N210" s="411">
        <v>422.61260609635099</v>
      </c>
      <c r="O210" s="411">
        <v>759.87005087813498</v>
      </c>
      <c r="P210" s="411">
        <v>1325.86988202768</v>
      </c>
      <c r="Q210" s="411">
        <v>1788.38431843439</v>
      </c>
      <c r="R210" s="411">
        <v>1646.18255560333</v>
      </c>
      <c r="S210" s="411">
        <v>1289.84315937376</v>
      </c>
      <c r="T210" s="411">
        <v>760.21478995437496</v>
      </c>
      <c r="U210" s="411">
        <v>496.413401718849</v>
      </c>
      <c r="V210" s="411">
        <v>364.71106374866798</v>
      </c>
    </row>
    <row r="211" spans="1:22" s="84" customFormat="1" x14ac:dyDescent="0.25">
      <c r="A211" s="613" t="s">
        <v>533</v>
      </c>
      <c r="B211" s="613" t="s">
        <v>34</v>
      </c>
      <c r="C211" s="613"/>
      <c r="D211" s="643" t="s">
        <v>762</v>
      </c>
    </row>
    <row r="212" spans="1:22" x14ac:dyDescent="0.25">
      <c r="A212" s="416" t="s">
        <v>533</v>
      </c>
      <c r="B212" s="416" t="s">
        <v>34</v>
      </c>
      <c r="C212" s="416"/>
      <c r="D212" s="412" t="s">
        <v>645</v>
      </c>
    </row>
    <row r="213" spans="1:22" x14ac:dyDescent="0.25">
      <c r="A213" s="416" t="s">
        <v>533</v>
      </c>
      <c r="B213" s="416" t="s">
        <v>34</v>
      </c>
      <c r="C213" s="416"/>
      <c r="D213" s="413" t="s">
        <v>646</v>
      </c>
      <c r="E213" s="411">
        <v>1</v>
      </c>
      <c r="F213" s="411">
        <v>1</v>
      </c>
      <c r="G213" s="411">
        <v>1</v>
      </c>
      <c r="H213" s="411">
        <v>1</v>
      </c>
      <c r="I213" s="411">
        <v>1</v>
      </c>
      <c r="J213" s="411">
        <v>1</v>
      </c>
      <c r="K213" s="411">
        <v>1</v>
      </c>
      <c r="L213" s="411">
        <v>1</v>
      </c>
      <c r="M213" s="411">
        <v>1</v>
      </c>
      <c r="N213" s="411">
        <v>1</v>
      </c>
      <c r="O213" s="411">
        <v>1</v>
      </c>
      <c r="P213" s="411">
        <v>1</v>
      </c>
      <c r="Q213" s="411">
        <v>1</v>
      </c>
      <c r="R213" s="411">
        <v>1</v>
      </c>
      <c r="S213" s="411">
        <v>1</v>
      </c>
      <c r="T213" s="411">
        <v>1</v>
      </c>
      <c r="U213" s="411">
        <v>1</v>
      </c>
      <c r="V213" s="411">
        <v>1</v>
      </c>
    </row>
    <row r="214" spans="1:22" x14ac:dyDescent="0.25">
      <c r="A214" s="416" t="s">
        <v>533</v>
      </c>
      <c r="B214" s="416" t="s">
        <v>34</v>
      </c>
      <c r="C214" s="416"/>
      <c r="D214" s="413" t="s">
        <v>647</v>
      </c>
      <c r="E214" s="411">
        <v>0</v>
      </c>
      <c r="F214" s="411">
        <v>0</v>
      </c>
      <c r="G214" s="411">
        <v>0</v>
      </c>
      <c r="H214" s="411">
        <v>0</v>
      </c>
      <c r="I214" s="411">
        <v>0</v>
      </c>
      <c r="J214" s="411">
        <v>0</v>
      </c>
      <c r="K214" s="411">
        <v>0</v>
      </c>
      <c r="L214" s="411">
        <v>0</v>
      </c>
      <c r="M214" s="411">
        <v>0</v>
      </c>
      <c r="N214" s="411">
        <v>0</v>
      </c>
      <c r="O214" s="411">
        <v>0</v>
      </c>
      <c r="P214" s="411">
        <v>0</v>
      </c>
      <c r="Q214" s="411">
        <v>0</v>
      </c>
      <c r="R214" s="411">
        <v>0</v>
      </c>
      <c r="S214" s="411">
        <v>0</v>
      </c>
      <c r="T214" s="411">
        <v>0</v>
      </c>
      <c r="U214" s="411">
        <v>0</v>
      </c>
      <c r="V214" s="411">
        <v>0</v>
      </c>
    </row>
    <row r="215" spans="1:22" x14ac:dyDescent="0.25">
      <c r="A215" s="416" t="s">
        <v>533</v>
      </c>
      <c r="B215" s="416" t="s">
        <v>34</v>
      </c>
      <c r="C215" s="416"/>
      <c r="D215" s="413" t="s">
        <v>648</v>
      </c>
      <c r="E215" s="411">
        <v>1</v>
      </c>
      <c r="F215" s="411">
        <v>1</v>
      </c>
      <c r="G215" s="411">
        <v>1</v>
      </c>
      <c r="H215" s="411">
        <v>1</v>
      </c>
      <c r="I215" s="411">
        <v>1</v>
      </c>
      <c r="J215" s="411">
        <v>1</v>
      </c>
      <c r="K215" s="411">
        <v>1</v>
      </c>
      <c r="L215" s="411">
        <v>1</v>
      </c>
      <c r="M215" s="411">
        <v>1</v>
      </c>
      <c r="N215" s="411">
        <v>1</v>
      </c>
      <c r="O215" s="411">
        <v>1</v>
      </c>
      <c r="P215" s="411">
        <v>1</v>
      </c>
      <c r="Q215" s="411">
        <v>1</v>
      </c>
      <c r="R215" s="411">
        <v>1</v>
      </c>
      <c r="S215" s="411">
        <v>1</v>
      </c>
      <c r="T215" s="411">
        <v>1</v>
      </c>
      <c r="U215" s="411">
        <v>1</v>
      </c>
      <c r="V215" s="411">
        <v>1</v>
      </c>
    </row>
    <row r="216" spans="1:22" x14ac:dyDescent="0.25">
      <c r="A216" s="416" t="s">
        <v>533</v>
      </c>
      <c r="B216" s="416" t="s">
        <v>34</v>
      </c>
      <c r="C216" s="416"/>
      <c r="D216" s="413" t="s">
        <v>649</v>
      </c>
      <c r="E216" s="411">
        <v>180</v>
      </c>
      <c r="F216" s="411">
        <v>180</v>
      </c>
      <c r="G216" s="411">
        <v>180</v>
      </c>
      <c r="H216" s="411">
        <v>180</v>
      </c>
      <c r="I216" s="411">
        <v>180</v>
      </c>
      <c r="J216" s="411">
        <v>180</v>
      </c>
      <c r="K216" s="411">
        <v>180</v>
      </c>
      <c r="L216" s="411">
        <v>180</v>
      </c>
      <c r="M216" s="411">
        <v>180</v>
      </c>
      <c r="N216" s="411">
        <v>180</v>
      </c>
      <c r="O216" s="411">
        <v>180</v>
      </c>
      <c r="P216" s="411">
        <v>180</v>
      </c>
      <c r="Q216" s="411">
        <v>180</v>
      </c>
      <c r="R216" s="411">
        <v>180</v>
      </c>
      <c r="S216" s="411">
        <v>180</v>
      </c>
      <c r="T216" s="411">
        <v>180</v>
      </c>
      <c r="U216" s="411">
        <v>180</v>
      </c>
      <c r="V216" s="411">
        <v>180</v>
      </c>
    </row>
    <row r="217" spans="1:22" x14ac:dyDescent="0.25">
      <c r="A217" s="416" t="s">
        <v>533</v>
      </c>
      <c r="B217" s="416" t="s">
        <v>34</v>
      </c>
      <c r="C217" s="416"/>
      <c r="D217" s="413" t="s">
        <v>650</v>
      </c>
      <c r="E217" s="411">
        <v>0</v>
      </c>
      <c r="F217" s="411">
        <v>0</v>
      </c>
      <c r="G217" s="411">
        <v>0</v>
      </c>
      <c r="H217" s="411">
        <v>0</v>
      </c>
      <c r="I217" s="411">
        <v>0</v>
      </c>
      <c r="J217" s="411">
        <v>0</v>
      </c>
      <c r="K217" s="411">
        <v>0</v>
      </c>
      <c r="L217" s="411">
        <v>0</v>
      </c>
      <c r="M217" s="411">
        <v>0</v>
      </c>
      <c r="N217" s="411">
        <v>0</v>
      </c>
      <c r="O217" s="411">
        <v>0</v>
      </c>
      <c r="P217" s="411">
        <v>0</v>
      </c>
      <c r="Q217" s="411">
        <v>0</v>
      </c>
      <c r="R217" s="411">
        <v>0</v>
      </c>
      <c r="S217" s="411">
        <v>0</v>
      </c>
      <c r="T217" s="411">
        <v>0</v>
      </c>
      <c r="U217" s="411">
        <v>0</v>
      </c>
      <c r="V217" s="411">
        <v>0</v>
      </c>
    </row>
    <row r="218" spans="1:22" x14ac:dyDescent="0.25">
      <c r="A218" s="416" t="s">
        <v>533</v>
      </c>
      <c r="B218" s="416" t="s">
        <v>34</v>
      </c>
      <c r="C218" s="416" t="s">
        <v>154</v>
      </c>
      <c r="D218" s="412" t="s">
        <v>651</v>
      </c>
      <c r="E218" s="411">
        <v>0.18</v>
      </c>
      <c r="F218" s="411">
        <v>0.18</v>
      </c>
      <c r="G218" s="411">
        <v>0.18</v>
      </c>
      <c r="H218" s="411">
        <v>0.18</v>
      </c>
      <c r="I218" s="411">
        <v>0.18</v>
      </c>
      <c r="J218" s="411">
        <v>0.18</v>
      </c>
      <c r="K218" s="411">
        <v>0.18</v>
      </c>
      <c r="L218" s="411">
        <v>0.18</v>
      </c>
      <c r="M218" s="411">
        <v>0.18</v>
      </c>
      <c r="N218" s="411">
        <v>0.18</v>
      </c>
      <c r="O218" s="411">
        <v>0.18</v>
      </c>
      <c r="P218" s="411">
        <v>0.18</v>
      </c>
      <c r="Q218" s="411">
        <v>0.18</v>
      </c>
      <c r="R218" s="411">
        <v>0.18</v>
      </c>
      <c r="S218" s="411">
        <v>0.18</v>
      </c>
      <c r="T218" s="411">
        <v>0.18</v>
      </c>
      <c r="U218" s="411">
        <v>0.18</v>
      </c>
      <c r="V218" s="411">
        <v>0.18</v>
      </c>
    </row>
    <row r="219" spans="1:22" x14ac:dyDescent="0.25">
      <c r="A219" s="416" t="s">
        <v>533</v>
      </c>
      <c r="B219" s="416" t="s">
        <v>34</v>
      </c>
      <c r="C219" s="416"/>
      <c r="D219" s="412" t="s">
        <v>652</v>
      </c>
    </row>
    <row r="220" spans="1:22" x14ac:dyDescent="0.25">
      <c r="A220" s="416" t="s">
        <v>533</v>
      </c>
      <c r="B220" s="416" t="s">
        <v>34</v>
      </c>
      <c r="C220" s="416"/>
      <c r="D220" s="413" t="s">
        <v>653</v>
      </c>
      <c r="E220" s="411">
        <v>12324.3</v>
      </c>
      <c r="F220" s="411">
        <v>8240.6</v>
      </c>
      <c r="G220" s="411">
        <v>14564.1</v>
      </c>
      <c r="H220" s="411">
        <v>12191.8</v>
      </c>
      <c r="I220" s="411">
        <v>12279.6</v>
      </c>
      <c r="J220" s="411">
        <v>12236.5</v>
      </c>
      <c r="K220" s="411">
        <v>13182.9</v>
      </c>
      <c r="L220" s="411">
        <v>13395.9</v>
      </c>
      <c r="M220" s="411">
        <v>12191.8</v>
      </c>
      <c r="N220" s="411">
        <v>14343.8</v>
      </c>
      <c r="O220" s="411">
        <v>15460.1</v>
      </c>
      <c r="P220" s="411">
        <v>12236.5</v>
      </c>
      <c r="Q220" s="411">
        <v>12279.6</v>
      </c>
      <c r="R220" s="411">
        <v>11339</v>
      </c>
      <c r="S220" s="411">
        <v>12191.9</v>
      </c>
      <c r="T220" s="411">
        <v>13486.9</v>
      </c>
      <c r="U220" s="411">
        <v>12279.6</v>
      </c>
      <c r="V220" s="411">
        <v>12191.8</v>
      </c>
    </row>
    <row r="221" spans="1:22" x14ac:dyDescent="0.25">
      <c r="A221" s="416" t="s">
        <v>533</v>
      </c>
      <c r="B221" s="416" t="s">
        <v>34</v>
      </c>
      <c r="C221" s="416"/>
      <c r="D221" s="413" t="s">
        <v>654</v>
      </c>
      <c r="E221" s="411">
        <v>0</v>
      </c>
      <c r="F221" s="411">
        <v>0</v>
      </c>
      <c r="G221" s="411">
        <v>0</v>
      </c>
      <c r="H221" s="411">
        <v>0</v>
      </c>
      <c r="I221" s="411">
        <v>0</v>
      </c>
      <c r="J221" s="411">
        <v>0</v>
      </c>
      <c r="K221" s="411">
        <v>0</v>
      </c>
      <c r="L221" s="411">
        <v>0</v>
      </c>
      <c r="M221" s="411">
        <v>0</v>
      </c>
      <c r="N221" s="411">
        <v>0</v>
      </c>
      <c r="O221" s="411">
        <v>0</v>
      </c>
      <c r="P221" s="411">
        <v>0</v>
      </c>
      <c r="Q221" s="411">
        <v>0</v>
      </c>
      <c r="R221" s="411">
        <v>0</v>
      </c>
      <c r="S221" s="411">
        <v>0</v>
      </c>
      <c r="T221" s="411">
        <v>0</v>
      </c>
      <c r="U221" s="411">
        <v>0</v>
      </c>
      <c r="V221" s="411">
        <v>0</v>
      </c>
    </row>
    <row r="222" spans="1:22" x14ac:dyDescent="0.25">
      <c r="A222" s="416" t="s">
        <v>533</v>
      </c>
      <c r="B222" s="416" t="s">
        <v>34</v>
      </c>
      <c r="C222" s="416"/>
      <c r="D222" s="414" t="s">
        <v>655</v>
      </c>
      <c r="E222" s="415">
        <v>12.324299999999999</v>
      </c>
      <c r="F222" s="415">
        <v>8.2406000000000006</v>
      </c>
      <c r="G222" s="415">
        <v>14.5641</v>
      </c>
      <c r="H222" s="415">
        <v>12.191799999999899</v>
      </c>
      <c r="I222" s="415">
        <v>12.2796</v>
      </c>
      <c r="J222" s="415">
        <v>12.236499999999999</v>
      </c>
      <c r="K222" s="415">
        <v>13.1829</v>
      </c>
      <c r="L222" s="415">
        <v>13.395899999999999</v>
      </c>
      <c r="M222" s="415">
        <v>12.191799999999899</v>
      </c>
      <c r="N222" s="415">
        <v>14.3438</v>
      </c>
      <c r="O222" s="415">
        <v>15.460100000000001</v>
      </c>
      <c r="P222" s="415">
        <v>12.236499999999999</v>
      </c>
      <c r="Q222" s="415">
        <v>12.2796</v>
      </c>
      <c r="R222" s="415">
        <v>11.339</v>
      </c>
      <c r="S222" s="415">
        <v>12.1919</v>
      </c>
      <c r="T222" s="415">
        <v>13.4869</v>
      </c>
      <c r="U222" s="415">
        <v>12.2796</v>
      </c>
      <c r="V222" s="415">
        <v>12.191799999999899</v>
      </c>
    </row>
    <row r="223" spans="1:22" x14ac:dyDescent="0.25">
      <c r="A223" s="416" t="s">
        <v>533</v>
      </c>
      <c r="B223" s="416" t="s">
        <v>34</v>
      </c>
      <c r="C223" s="416"/>
      <c r="D223" s="414" t="s">
        <v>656</v>
      </c>
      <c r="E223" s="415">
        <v>0.33289999999999997</v>
      </c>
      <c r="F223" s="415">
        <v>0.33289999999999997</v>
      </c>
      <c r="G223" s="415">
        <v>0.33289999999999997</v>
      </c>
      <c r="H223" s="415">
        <v>0.33289999999999997</v>
      </c>
      <c r="I223" s="415">
        <v>0.33289999999999997</v>
      </c>
      <c r="J223" s="415">
        <v>0.33289999999999997</v>
      </c>
      <c r="K223" s="415">
        <v>0.33289999999999997</v>
      </c>
      <c r="L223" s="415">
        <v>0.33289999999999997</v>
      </c>
      <c r="M223" s="415">
        <v>0.33289999999999997</v>
      </c>
      <c r="N223" s="415">
        <v>0.33289999999999997</v>
      </c>
      <c r="O223" s="415">
        <v>0.33289999999999997</v>
      </c>
      <c r="P223" s="415">
        <v>0.33289999999999997</v>
      </c>
      <c r="Q223" s="415">
        <v>0.33289999999999997</v>
      </c>
      <c r="R223" s="415">
        <v>0.33289999999999997</v>
      </c>
      <c r="S223" s="415">
        <v>0.33289999999999997</v>
      </c>
      <c r="T223" s="415">
        <v>0.33289999999999997</v>
      </c>
      <c r="U223" s="415">
        <v>0.33289999999999997</v>
      </c>
      <c r="V223" s="415">
        <v>0.33289999999999997</v>
      </c>
    </row>
    <row r="224" spans="1:22" x14ac:dyDescent="0.25">
      <c r="A224" s="416" t="s">
        <v>533</v>
      </c>
      <c r="B224" s="416" t="s">
        <v>34</v>
      </c>
      <c r="C224" s="416"/>
      <c r="D224" s="414" t="s">
        <v>657</v>
      </c>
      <c r="E224" s="415">
        <v>0.33289999999999997</v>
      </c>
      <c r="F224" s="415">
        <v>0.33289999999999997</v>
      </c>
      <c r="G224" s="415">
        <v>0.33289999999999997</v>
      </c>
      <c r="H224" s="415">
        <v>0.33289999999999997</v>
      </c>
      <c r="I224" s="415">
        <v>0.33289999999999997</v>
      </c>
      <c r="J224" s="415">
        <v>0.33289999999999997</v>
      </c>
      <c r="K224" s="415">
        <v>0.33289999999999997</v>
      </c>
      <c r="L224" s="415">
        <v>0.33289999999999997</v>
      </c>
      <c r="M224" s="415">
        <v>0.33289999999999997</v>
      </c>
      <c r="N224" s="415">
        <v>0.33289999999999997</v>
      </c>
      <c r="O224" s="415">
        <v>0.33289999999999997</v>
      </c>
      <c r="P224" s="415">
        <v>0.33289999999999997</v>
      </c>
      <c r="Q224" s="415">
        <v>0.33289999999999997</v>
      </c>
      <c r="R224" s="415">
        <v>0.33289999999999997</v>
      </c>
      <c r="S224" s="415">
        <v>0.33289999999999997</v>
      </c>
      <c r="T224" s="415">
        <v>0.33289999999999997</v>
      </c>
      <c r="U224" s="415">
        <v>0.33289999999999997</v>
      </c>
      <c r="V224" s="415">
        <v>0.33289999999999997</v>
      </c>
    </row>
    <row r="225" spans="1:22" x14ac:dyDescent="0.25">
      <c r="A225" s="416" t="s">
        <v>533</v>
      </c>
      <c r="B225" s="416" t="s">
        <v>34</v>
      </c>
      <c r="C225" s="416"/>
      <c r="D225" s="414" t="s">
        <v>658</v>
      </c>
      <c r="E225" s="415">
        <v>0</v>
      </c>
      <c r="F225" s="415">
        <v>0</v>
      </c>
      <c r="G225" s="415">
        <v>0</v>
      </c>
      <c r="H225" s="415">
        <v>0</v>
      </c>
      <c r="I225" s="415">
        <v>0</v>
      </c>
      <c r="J225" s="415">
        <v>0</v>
      </c>
      <c r="K225" s="415">
        <v>0</v>
      </c>
      <c r="L225" s="415">
        <v>0</v>
      </c>
      <c r="M225" s="415">
        <v>0</v>
      </c>
      <c r="N225" s="415">
        <v>0</v>
      </c>
      <c r="O225" s="415">
        <v>0</v>
      </c>
      <c r="P225" s="415">
        <v>0</v>
      </c>
      <c r="Q225" s="415">
        <v>0</v>
      </c>
      <c r="R225" s="415">
        <v>0</v>
      </c>
      <c r="S225" s="415">
        <v>0</v>
      </c>
      <c r="T225" s="415">
        <v>0</v>
      </c>
      <c r="U225" s="415">
        <v>0</v>
      </c>
      <c r="V225" s="415">
        <v>0</v>
      </c>
    </row>
    <row r="226" spans="1:22" x14ac:dyDescent="0.25">
      <c r="A226" s="416" t="s">
        <v>533</v>
      </c>
      <c r="B226" s="416" t="s">
        <v>34</v>
      </c>
      <c r="C226" s="416" t="s">
        <v>436</v>
      </c>
      <c r="D226" s="412" t="s">
        <v>659</v>
      </c>
      <c r="E226" s="411">
        <v>4.1027594699999899</v>
      </c>
      <c r="F226" s="411">
        <v>2.7432957400000002</v>
      </c>
      <c r="G226" s="411">
        <v>4.8483888899999998</v>
      </c>
      <c r="H226" s="411">
        <v>4.0586502199999996</v>
      </c>
      <c r="I226" s="411">
        <v>4.0878788400000001</v>
      </c>
      <c r="J226" s="411">
        <v>4.07353085</v>
      </c>
      <c r="K226" s="411">
        <v>4.3885874099999898</v>
      </c>
      <c r="L226" s="411">
        <v>4.4594951099999998</v>
      </c>
      <c r="M226" s="411">
        <v>4.0586502199999996</v>
      </c>
      <c r="N226" s="411">
        <v>4.7750510199999896</v>
      </c>
      <c r="O226" s="411">
        <v>5.1466672899999999</v>
      </c>
      <c r="P226" s="411">
        <v>4.07353085</v>
      </c>
      <c r="Q226" s="411">
        <v>4.0878788400000001</v>
      </c>
      <c r="R226" s="411">
        <v>3.7747530999999999</v>
      </c>
      <c r="S226" s="411">
        <v>4.0586835099999998</v>
      </c>
      <c r="T226" s="411">
        <v>4.48978901</v>
      </c>
      <c r="U226" s="411">
        <v>4.0878788400000001</v>
      </c>
      <c r="V226" s="411">
        <v>4.0586502199999996</v>
      </c>
    </row>
    <row r="227" spans="1:22" x14ac:dyDescent="0.25">
      <c r="A227" s="416" t="s">
        <v>533</v>
      </c>
      <c r="B227" s="416" t="s">
        <v>34</v>
      </c>
      <c r="C227" s="416"/>
      <c r="D227" s="412" t="s">
        <v>660</v>
      </c>
    </row>
    <row r="228" spans="1:22" x14ac:dyDescent="0.25">
      <c r="A228" s="416" t="s">
        <v>533</v>
      </c>
      <c r="B228" s="416" t="s">
        <v>34</v>
      </c>
      <c r="C228" s="416"/>
      <c r="D228" s="412" t="s">
        <v>661</v>
      </c>
    </row>
    <row r="229" spans="1:22" x14ac:dyDescent="0.25">
      <c r="A229" s="416" t="s">
        <v>533</v>
      </c>
      <c r="B229" s="416" t="s">
        <v>34</v>
      </c>
      <c r="C229" s="416"/>
      <c r="D229" s="413" t="s">
        <v>674</v>
      </c>
      <c r="E229" s="411">
        <v>16560</v>
      </c>
      <c r="F229" s="411">
        <v>16560</v>
      </c>
      <c r="G229" s="411">
        <v>16560</v>
      </c>
      <c r="H229" s="411">
        <v>16560</v>
      </c>
      <c r="I229" s="411">
        <v>16560</v>
      </c>
      <c r="J229" s="411">
        <v>16560</v>
      </c>
      <c r="K229" s="411">
        <v>16560</v>
      </c>
      <c r="L229" s="411">
        <v>16560</v>
      </c>
      <c r="M229" s="411">
        <v>16560</v>
      </c>
      <c r="N229" s="411">
        <v>16560</v>
      </c>
      <c r="O229" s="411">
        <v>16560</v>
      </c>
      <c r="P229" s="411">
        <v>16560</v>
      </c>
      <c r="Q229" s="411">
        <v>16560</v>
      </c>
      <c r="R229" s="411">
        <v>16560</v>
      </c>
      <c r="S229" s="411">
        <v>16560</v>
      </c>
      <c r="T229" s="411">
        <v>16560</v>
      </c>
      <c r="U229" s="411">
        <v>16560</v>
      </c>
      <c r="V229" s="411">
        <v>16560</v>
      </c>
    </row>
    <row r="230" spans="1:22" x14ac:dyDescent="0.25">
      <c r="A230" s="416" t="s">
        <v>533</v>
      </c>
      <c r="B230" s="416" t="s">
        <v>34</v>
      </c>
      <c r="C230" s="416"/>
      <c r="D230" s="414" t="s">
        <v>675</v>
      </c>
      <c r="E230" s="415">
        <v>11.2629</v>
      </c>
      <c r="F230" s="415">
        <v>11.2629</v>
      </c>
      <c r="G230" s="415">
        <v>11.2629</v>
      </c>
      <c r="H230" s="415">
        <v>11.2629</v>
      </c>
      <c r="I230" s="415">
        <v>11.2629</v>
      </c>
      <c r="J230" s="415">
        <v>11.2629</v>
      </c>
      <c r="K230" s="415">
        <v>11.2629</v>
      </c>
      <c r="L230" s="415">
        <v>11.2629</v>
      </c>
      <c r="M230" s="415">
        <v>11.2629</v>
      </c>
      <c r="N230" s="415">
        <v>11.2629</v>
      </c>
      <c r="O230" s="415">
        <v>11.2629</v>
      </c>
      <c r="P230" s="415">
        <v>11.2629</v>
      </c>
      <c r="Q230" s="415">
        <v>11.2629</v>
      </c>
      <c r="R230" s="415">
        <v>11.2629</v>
      </c>
      <c r="S230" s="415">
        <v>11.2629</v>
      </c>
      <c r="T230" s="415">
        <v>11.2629</v>
      </c>
      <c r="U230" s="415">
        <v>11.2629</v>
      </c>
      <c r="V230" s="415">
        <v>11.2629</v>
      </c>
    </row>
    <row r="231" spans="1:22" x14ac:dyDescent="0.25">
      <c r="A231" s="416" t="s">
        <v>533</v>
      </c>
      <c r="B231" s="416" t="s">
        <v>34</v>
      </c>
      <c r="C231" s="416" t="s">
        <v>208</v>
      </c>
      <c r="D231" s="417" t="s">
        <v>676</v>
      </c>
      <c r="E231" s="415">
        <v>186.51362399999999</v>
      </c>
      <c r="F231" s="415">
        <v>186.51362399999999</v>
      </c>
      <c r="G231" s="415">
        <v>186.51362399999999</v>
      </c>
      <c r="H231" s="415">
        <v>186.51362399999999</v>
      </c>
      <c r="I231" s="415">
        <v>186.51362399999999</v>
      </c>
      <c r="J231" s="415">
        <v>186.51362399999999</v>
      </c>
      <c r="K231" s="415">
        <v>186.51362399999999</v>
      </c>
      <c r="L231" s="415">
        <v>186.51362399999999</v>
      </c>
      <c r="M231" s="415">
        <v>186.51362399999999</v>
      </c>
      <c r="N231" s="415">
        <v>186.51362399999999</v>
      </c>
      <c r="O231" s="415">
        <v>186.51362399999999</v>
      </c>
      <c r="P231" s="415">
        <v>186.51362399999999</v>
      </c>
      <c r="Q231" s="415">
        <v>186.51362399999999</v>
      </c>
      <c r="R231" s="415">
        <v>186.51362399999999</v>
      </c>
      <c r="S231" s="415">
        <v>186.51362399999999</v>
      </c>
      <c r="T231" s="415">
        <v>186.51362399999999</v>
      </c>
      <c r="U231" s="415">
        <v>186.51362399999999</v>
      </c>
      <c r="V231" s="415">
        <v>186.51362399999999</v>
      </c>
    </row>
    <row r="232" spans="1:22" x14ac:dyDescent="0.25">
      <c r="A232" s="416" t="s">
        <v>533</v>
      </c>
      <c r="B232" s="416" t="s">
        <v>34</v>
      </c>
      <c r="C232" s="416"/>
      <c r="D232" s="412" t="s">
        <v>662</v>
      </c>
      <c r="E232" s="411">
        <v>190.79638346999999</v>
      </c>
      <c r="F232" s="411">
        <v>189.43691974000001</v>
      </c>
      <c r="G232" s="411">
        <v>191.54201289</v>
      </c>
      <c r="H232" s="411">
        <v>190.75227422</v>
      </c>
      <c r="I232" s="411">
        <v>190.78150284</v>
      </c>
      <c r="J232" s="411">
        <v>190.76715485</v>
      </c>
      <c r="K232" s="411">
        <v>191.08221141000001</v>
      </c>
      <c r="L232" s="411">
        <v>191.15311911000001</v>
      </c>
      <c r="M232" s="411">
        <v>190.75227422</v>
      </c>
      <c r="N232" s="411">
        <v>191.46867502000001</v>
      </c>
      <c r="O232" s="411">
        <v>191.84029129000001</v>
      </c>
      <c r="P232" s="411">
        <v>190.76715485</v>
      </c>
      <c r="Q232" s="411">
        <v>190.78150284</v>
      </c>
      <c r="R232" s="411">
        <v>190.4683771</v>
      </c>
      <c r="S232" s="411">
        <v>190.75230751000001</v>
      </c>
      <c r="T232" s="411">
        <v>191.18341301000001</v>
      </c>
      <c r="U232" s="411">
        <v>190.78150284</v>
      </c>
      <c r="V232" s="411">
        <v>190.75227422</v>
      </c>
    </row>
    <row r="233" spans="1:22" x14ac:dyDescent="0.25">
      <c r="A233" s="416" t="s">
        <v>533</v>
      </c>
      <c r="B233" s="416" t="s">
        <v>34</v>
      </c>
      <c r="C233" s="416"/>
      <c r="D233" s="412" t="s">
        <v>663</v>
      </c>
    </row>
    <row r="234" spans="1:22" x14ac:dyDescent="0.25">
      <c r="A234" s="416" t="s">
        <v>533</v>
      </c>
      <c r="B234" s="416" t="s">
        <v>34</v>
      </c>
      <c r="C234" s="416"/>
      <c r="D234" s="414" t="s">
        <v>664</v>
      </c>
      <c r="E234" s="415">
        <v>3.54132328535503</v>
      </c>
      <c r="F234" s="415">
        <v>4.0825536529198896</v>
      </c>
      <c r="G234" s="415">
        <v>4.6151370530302804</v>
      </c>
      <c r="H234" s="415">
        <v>4.7204926546137003</v>
      </c>
      <c r="I234" s="415">
        <v>4.2816079006073897</v>
      </c>
      <c r="J234" s="415">
        <v>4.61774840312499</v>
      </c>
      <c r="K234" s="415">
        <v>3.6370825733754901</v>
      </c>
      <c r="L234" s="415">
        <v>3.1998593487156</v>
      </c>
      <c r="M234" s="415">
        <v>3.4441400635944199</v>
      </c>
      <c r="N234" s="415">
        <v>2.6697967759149801</v>
      </c>
      <c r="O234" s="415">
        <v>3.6621728781104101</v>
      </c>
      <c r="P234" s="415">
        <v>3.9547219031793199</v>
      </c>
      <c r="Q234" s="415">
        <v>4.3060793499123999</v>
      </c>
      <c r="R234" s="415">
        <v>4.66270835833049</v>
      </c>
      <c r="S234" s="415">
        <v>5.2056863414265502</v>
      </c>
      <c r="T234" s="415">
        <v>5.4531502607765896</v>
      </c>
      <c r="U234" s="415">
        <v>5.0764131270513699</v>
      </c>
      <c r="V234" s="415">
        <v>4.0447960531742</v>
      </c>
    </row>
    <row r="235" spans="1:22" x14ac:dyDescent="0.25">
      <c r="A235" s="416" t="s">
        <v>533</v>
      </c>
      <c r="B235" s="416" t="s">
        <v>34</v>
      </c>
      <c r="C235" s="416" t="s">
        <v>178</v>
      </c>
      <c r="D235" s="413" t="s">
        <v>665</v>
      </c>
      <c r="E235" s="411">
        <v>43.644330565700997</v>
      </c>
      <c r="F235" s="411">
        <v>33.642691632251598</v>
      </c>
      <c r="G235" s="411">
        <v>67.215317554038293</v>
      </c>
      <c r="H235" s="411">
        <v>57.5513023465193</v>
      </c>
      <c r="I235" s="411">
        <v>52.576432376298499</v>
      </c>
      <c r="J235" s="411">
        <v>56.505078334838998</v>
      </c>
      <c r="K235" s="411">
        <v>47.947295856551698</v>
      </c>
      <c r="L235" s="411">
        <v>42.864995849459397</v>
      </c>
      <c r="M235" s="411">
        <v>41.990266827330501</v>
      </c>
      <c r="N235" s="411">
        <v>38.295030994369398</v>
      </c>
      <c r="O235" s="411">
        <v>56.617558912874799</v>
      </c>
      <c r="P235" s="411">
        <v>48.391954568253702</v>
      </c>
      <c r="Q235" s="411">
        <v>52.876931985184399</v>
      </c>
      <c r="R235" s="411">
        <v>52.870450075109403</v>
      </c>
      <c r="S235" s="411">
        <v>63.467207306038397</v>
      </c>
      <c r="T235" s="411">
        <v>73.546092252067794</v>
      </c>
      <c r="U235" s="411">
        <v>62.336322634939997</v>
      </c>
      <c r="V235" s="411">
        <v>49.313344521089199</v>
      </c>
    </row>
    <row r="236" spans="1:22" x14ac:dyDescent="0.25">
      <c r="A236" s="416" t="s">
        <v>533</v>
      </c>
      <c r="B236" s="416" t="s">
        <v>34</v>
      </c>
      <c r="C236" s="416"/>
      <c r="D236" s="412" t="s">
        <v>666</v>
      </c>
    </row>
    <row r="237" spans="1:22" x14ac:dyDescent="0.25">
      <c r="A237" s="416" t="s">
        <v>533</v>
      </c>
      <c r="B237" s="416" t="s">
        <v>34</v>
      </c>
      <c r="C237" s="416"/>
      <c r="D237" s="414" t="s">
        <v>667</v>
      </c>
      <c r="E237" s="415">
        <v>0</v>
      </c>
      <c r="F237" s="415">
        <v>0</v>
      </c>
      <c r="G237" s="415">
        <v>0</v>
      </c>
      <c r="H237" s="415">
        <v>0</v>
      </c>
      <c r="I237" s="415">
        <v>0</v>
      </c>
      <c r="J237" s="415">
        <v>0</v>
      </c>
      <c r="K237" s="415">
        <v>0</v>
      </c>
      <c r="L237" s="415">
        <v>0</v>
      </c>
      <c r="M237" s="415">
        <v>0</v>
      </c>
      <c r="N237" s="415">
        <v>0</v>
      </c>
      <c r="O237" s="415">
        <v>0</v>
      </c>
      <c r="P237" s="415">
        <v>0</v>
      </c>
      <c r="Q237" s="415">
        <v>0</v>
      </c>
      <c r="R237" s="415">
        <v>0</v>
      </c>
      <c r="S237" s="415">
        <v>0</v>
      </c>
      <c r="T237" s="415">
        <v>0</v>
      </c>
      <c r="U237" s="415">
        <v>0</v>
      </c>
      <c r="V237" s="415">
        <v>0</v>
      </c>
    </row>
    <row r="238" spans="1:22" x14ac:dyDescent="0.25">
      <c r="A238" s="416" t="s">
        <v>533</v>
      </c>
      <c r="B238" s="416" t="s">
        <v>34</v>
      </c>
      <c r="C238" s="416" t="s">
        <v>180</v>
      </c>
      <c r="D238" s="413" t="s">
        <v>668</v>
      </c>
      <c r="E238" s="411">
        <v>0</v>
      </c>
      <c r="F238" s="411">
        <v>0</v>
      </c>
      <c r="G238" s="411">
        <v>0</v>
      </c>
      <c r="H238" s="411">
        <v>0</v>
      </c>
      <c r="I238" s="411">
        <v>0</v>
      </c>
      <c r="J238" s="411">
        <v>0</v>
      </c>
      <c r="K238" s="411">
        <v>0</v>
      </c>
      <c r="L238" s="411">
        <v>0</v>
      </c>
      <c r="M238" s="411">
        <v>0</v>
      </c>
      <c r="N238" s="411">
        <v>0</v>
      </c>
      <c r="O238" s="411">
        <v>0</v>
      </c>
      <c r="P238" s="411">
        <v>0</v>
      </c>
      <c r="Q238" s="411">
        <v>0</v>
      </c>
      <c r="R238" s="411">
        <v>0</v>
      </c>
      <c r="S238" s="411">
        <v>0</v>
      </c>
      <c r="T238" s="411">
        <v>0</v>
      </c>
      <c r="U238" s="411">
        <v>0</v>
      </c>
      <c r="V238" s="411">
        <v>0</v>
      </c>
    </row>
    <row r="239" spans="1:22" x14ac:dyDescent="0.25">
      <c r="A239" s="416" t="s">
        <v>533</v>
      </c>
      <c r="B239" s="416" t="s">
        <v>34</v>
      </c>
      <c r="C239" s="416"/>
      <c r="D239" s="412" t="s">
        <v>669</v>
      </c>
    </row>
    <row r="240" spans="1:22" x14ac:dyDescent="0.25">
      <c r="A240" s="416" t="s">
        <v>533</v>
      </c>
      <c r="B240" s="416" t="s">
        <v>34</v>
      </c>
      <c r="C240" s="416"/>
      <c r="D240" s="414" t="s">
        <v>670</v>
      </c>
      <c r="E240" s="415">
        <v>0</v>
      </c>
      <c r="F240" s="415">
        <v>0</v>
      </c>
      <c r="G240" s="415">
        <v>0</v>
      </c>
      <c r="H240" s="415">
        <v>0</v>
      </c>
      <c r="I240" s="415">
        <v>0</v>
      </c>
      <c r="J240" s="415">
        <v>0</v>
      </c>
      <c r="K240" s="415">
        <v>0</v>
      </c>
      <c r="L240" s="415">
        <v>0</v>
      </c>
      <c r="M240" s="415">
        <v>0</v>
      </c>
      <c r="N240" s="415">
        <v>0</v>
      </c>
      <c r="O240" s="415">
        <v>0</v>
      </c>
      <c r="P240" s="415">
        <v>0</v>
      </c>
      <c r="Q240" s="415">
        <v>0</v>
      </c>
      <c r="R240" s="415">
        <v>0</v>
      </c>
      <c r="S240" s="415">
        <v>0</v>
      </c>
      <c r="T240" s="415">
        <v>0</v>
      </c>
      <c r="U240" s="415">
        <v>0</v>
      </c>
      <c r="V240" s="415">
        <v>0</v>
      </c>
    </row>
    <row r="241" spans="1:22" x14ac:dyDescent="0.25">
      <c r="A241" s="416" t="s">
        <v>533</v>
      </c>
      <c r="B241" s="416" t="s">
        <v>34</v>
      </c>
      <c r="C241" s="416" t="s">
        <v>424</v>
      </c>
      <c r="D241" s="413" t="s">
        <v>671</v>
      </c>
      <c r="E241" s="411">
        <v>0</v>
      </c>
      <c r="F241" s="411">
        <v>0</v>
      </c>
      <c r="G241" s="411">
        <v>0</v>
      </c>
      <c r="H241" s="411">
        <v>0</v>
      </c>
      <c r="I241" s="411">
        <v>0</v>
      </c>
      <c r="J241" s="411">
        <v>0</v>
      </c>
      <c r="K241" s="411">
        <v>0</v>
      </c>
      <c r="L241" s="411">
        <v>0</v>
      </c>
      <c r="M241" s="411">
        <v>0</v>
      </c>
      <c r="N241" s="411">
        <v>0</v>
      </c>
      <c r="O241" s="411">
        <v>0</v>
      </c>
      <c r="P241" s="411">
        <v>0</v>
      </c>
      <c r="Q241" s="411">
        <v>0</v>
      </c>
      <c r="R241" s="411">
        <v>0</v>
      </c>
      <c r="S241" s="411">
        <v>0</v>
      </c>
      <c r="T241" s="411">
        <v>0</v>
      </c>
      <c r="U241" s="411">
        <v>0</v>
      </c>
      <c r="V241" s="411">
        <v>0</v>
      </c>
    </row>
    <row r="242" spans="1:22" x14ac:dyDescent="0.25">
      <c r="A242" s="416" t="s">
        <v>533</v>
      </c>
      <c r="B242" s="416" t="s">
        <v>34</v>
      </c>
      <c r="C242" s="416"/>
      <c r="D242" s="412" t="s">
        <v>672</v>
      </c>
      <c r="E242" s="411">
        <v>234.44071403570101</v>
      </c>
      <c r="F242" s="411">
        <v>223.07961137225101</v>
      </c>
      <c r="G242" s="411">
        <v>258.75733044403802</v>
      </c>
      <c r="H242" s="411">
        <v>248.30357656651901</v>
      </c>
      <c r="I242" s="411">
        <v>243.35793521629799</v>
      </c>
      <c r="J242" s="411">
        <v>247.272233184839</v>
      </c>
      <c r="K242" s="411">
        <v>239.02950726655101</v>
      </c>
      <c r="L242" s="411">
        <v>234.01811495945901</v>
      </c>
      <c r="M242" s="411">
        <v>232.74254104733001</v>
      </c>
      <c r="N242" s="411">
        <v>229.76370601436901</v>
      </c>
      <c r="O242" s="411">
        <v>248.457850202874</v>
      </c>
      <c r="P242" s="411">
        <v>239.159109418253</v>
      </c>
      <c r="Q242" s="411">
        <v>243.658434825184</v>
      </c>
      <c r="R242" s="411">
        <v>243.338827175109</v>
      </c>
      <c r="S242" s="411">
        <v>254.21951481603799</v>
      </c>
      <c r="T242" s="411">
        <v>264.72950526206699</v>
      </c>
      <c r="U242" s="411">
        <v>253.11782547493999</v>
      </c>
      <c r="V242" s="411">
        <v>240.065618741089</v>
      </c>
    </row>
    <row r="243" spans="1:22" s="84" customFormat="1" x14ac:dyDescent="0.25">
      <c r="A243" s="613" t="s">
        <v>533</v>
      </c>
      <c r="B243" s="613" t="s">
        <v>51</v>
      </c>
      <c r="C243" s="613"/>
      <c r="D243" s="643" t="s">
        <v>763</v>
      </c>
    </row>
    <row r="244" spans="1:22" x14ac:dyDescent="0.25">
      <c r="A244" s="416" t="s">
        <v>533</v>
      </c>
      <c r="B244" s="416" t="s">
        <v>51</v>
      </c>
      <c r="C244" s="416"/>
      <c r="D244" s="412" t="s">
        <v>645</v>
      </c>
    </row>
    <row r="245" spans="1:22" x14ac:dyDescent="0.25">
      <c r="A245" s="416" t="s">
        <v>533</v>
      </c>
      <c r="B245" s="416" t="s">
        <v>51</v>
      </c>
      <c r="C245" s="416"/>
      <c r="D245" s="413" t="s">
        <v>646</v>
      </c>
      <c r="E245" s="411">
        <v>1</v>
      </c>
      <c r="F245" s="411">
        <v>0</v>
      </c>
      <c r="G245" s="411">
        <v>0</v>
      </c>
      <c r="H245" s="411">
        <v>0</v>
      </c>
      <c r="I245" s="411">
        <v>0</v>
      </c>
      <c r="J245" s="411">
        <v>0</v>
      </c>
      <c r="K245" s="411">
        <v>0</v>
      </c>
      <c r="L245" s="411">
        <v>0</v>
      </c>
      <c r="M245" s="411">
        <v>0</v>
      </c>
      <c r="N245" s="411">
        <v>0</v>
      </c>
      <c r="O245" s="411">
        <v>0</v>
      </c>
      <c r="P245" s="411">
        <v>0</v>
      </c>
      <c r="Q245" s="411">
        <v>0</v>
      </c>
      <c r="R245" s="411">
        <v>0</v>
      </c>
      <c r="S245" s="411">
        <v>0</v>
      </c>
      <c r="T245" s="411">
        <v>0</v>
      </c>
      <c r="U245" s="411">
        <v>0</v>
      </c>
      <c r="V245" s="411">
        <v>0</v>
      </c>
    </row>
    <row r="246" spans="1:22" x14ac:dyDescent="0.25">
      <c r="A246" s="416" t="s">
        <v>533</v>
      </c>
      <c r="B246" s="416" t="s">
        <v>51</v>
      </c>
      <c r="C246" s="416"/>
      <c r="D246" s="413" t="s">
        <v>647</v>
      </c>
      <c r="E246" s="411">
        <v>0</v>
      </c>
      <c r="F246" s="411">
        <v>0</v>
      </c>
      <c r="G246" s="411">
        <v>0</v>
      </c>
      <c r="H246" s="411">
        <v>0</v>
      </c>
      <c r="I246" s="411">
        <v>0</v>
      </c>
      <c r="J246" s="411">
        <v>0</v>
      </c>
      <c r="K246" s="411">
        <v>0</v>
      </c>
      <c r="L246" s="411">
        <v>0</v>
      </c>
      <c r="M246" s="411">
        <v>0</v>
      </c>
      <c r="N246" s="411">
        <v>0</v>
      </c>
      <c r="O246" s="411">
        <v>0</v>
      </c>
      <c r="P246" s="411">
        <v>0</v>
      </c>
      <c r="Q246" s="411">
        <v>0</v>
      </c>
      <c r="R246" s="411">
        <v>0</v>
      </c>
      <c r="S246" s="411">
        <v>0</v>
      </c>
      <c r="T246" s="411">
        <v>0</v>
      </c>
      <c r="U246" s="411">
        <v>0</v>
      </c>
      <c r="V246" s="411">
        <v>0</v>
      </c>
    </row>
    <row r="247" spans="1:22" x14ac:dyDescent="0.25">
      <c r="A247" s="416" t="s">
        <v>533</v>
      </c>
      <c r="B247" s="416" t="s">
        <v>51</v>
      </c>
      <c r="C247" s="416"/>
      <c r="D247" s="413" t="s">
        <v>648</v>
      </c>
      <c r="E247" s="411">
        <v>1</v>
      </c>
      <c r="F247" s="411">
        <v>0</v>
      </c>
      <c r="G247" s="411">
        <v>0</v>
      </c>
      <c r="H247" s="411">
        <v>0</v>
      </c>
      <c r="I247" s="411">
        <v>0</v>
      </c>
      <c r="J247" s="411">
        <v>0</v>
      </c>
      <c r="K247" s="411">
        <v>0</v>
      </c>
      <c r="L247" s="411">
        <v>0</v>
      </c>
      <c r="M247" s="411">
        <v>0</v>
      </c>
      <c r="N247" s="411">
        <v>0</v>
      </c>
      <c r="O247" s="411">
        <v>0</v>
      </c>
      <c r="P247" s="411">
        <v>0</v>
      </c>
      <c r="Q247" s="411">
        <v>0</v>
      </c>
      <c r="R247" s="411">
        <v>0</v>
      </c>
      <c r="S247" s="411">
        <v>0</v>
      </c>
      <c r="T247" s="411">
        <v>0</v>
      </c>
      <c r="U247" s="411">
        <v>0</v>
      </c>
      <c r="V247" s="411">
        <v>0</v>
      </c>
    </row>
    <row r="248" spans="1:22" x14ac:dyDescent="0.25">
      <c r="A248" s="416" t="s">
        <v>533</v>
      </c>
      <c r="B248" s="416" t="s">
        <v>51</v>
      </c>
      <c r="C248" s="416"/>
      <c r="D248" s="413" t="s">
        <v>649</v>
      </c>
      <c r="E248" s="411">
        <v>800</v>
      </c>
      <c r="F248" s="411">
        <v>800</v>
      </c>
      <c r="G248" s="411">
        <v>800</v>
      </c>
      <c r="H248" s="411">
        <v>800</v>
      </c>
      <c r="I248" s="411">
        <v>800</v>
      </c>
      <c r="J248" s="411">
        <v>800</v>
      </c>
      <c r="K248" s="411">
        <v>800</v>
      </c>
      <c r="L248" s="411">
        <v>800</v>
      </c>
      <c r="M248" s="411">
        <v>800</v>
      </c>
      <c r="N248" s="411">
        <v>800</v>
      </c>
      <c r="O248" s="411">
        <v>800</v>
      </c>
      <c r="P248" s="411">
        <v>800</v>
      </c>
      <c r="Q248" s="411">
        <v>800</v>
      </c>
      <c r="R248" s="411">
        <v>800</v>
      </c>
      <c r="S248" s="411">
        <v>800</v>
      </c>
      <c r="T248" s="411">
        <v>800</v>
      </c>
      <c r="U248" s="411">
        <v>800</v>
      </c>
      <c r="V248" s="411">
        <v>800</v>
      </c>
    </row>
    <row r="249" spans="1:22" x14ac:dyDescent="0.25">
      <c r="A249" s="416" t="s">
        <v>533</v>
      </c>
      <c r="B249" s="416" t="s">
        <v>51</v>
      </c>
      <c r="C249" s="416"/>
      <c r="D249" s="413" t="s">
        <v>650</v>
      </c>
      <c r="E249" s="411">
        <v>0</v>
      </c>
      <c r="F249" s="411">
        <v>0</v>
      </c>
      <c r="G249" s="411">
        <v>0</v>
      </c>
      <c r="H249" s="411">
        <v>0</v>
      </c>
      <c r="I249" s="411">
        <v>0</v>
      </c>
      <c r="J249" s="411">
        <v>0</v>
      </c>
      <c r="K249" s="411">
        <v>0</v>
      </c>
      <c r="L249" s="411">
        <v>0</v>
      </c>
      <c r="M249" s="411">
        <v>0</v>
      </c>
      <c r="N249" s="411">
        <v>0</v>
      </c>
      <c r="O249" s="411">
        <v>0</v>
      </c>
      <c r="P249" s="411">
        <v>0</v>
      </c>
      <c r="Q249" s="411">
        <v>0</v>
      </c>
      <c r="R249" s="411">
        <v>0</v>
      </c>
      <c r="S249" s="411">
        <v>0</v>
      </c>
      <c r="T249" s="411">
        <v>0</v>
      </c>
      <c r="U249" s="411">
        <v>0</v>
      </c>
      <c r="V249" s="411">
        <v>0</v>
      </c>
    </row>
    <row r="250" spans="1:22" x14ac:dyDescent="0.25">
      <c r="A250" s="416" t="s">
        <v>533</v>
      </c>
      <c r="B250" s="416" t="s">
        <v>51</v>
      </c>
      <c r="C250" s="416" t="s">
        <v>154</v>
      </c>
      <c r="D250" s="412" t="s">
        <v>651</v>
      </c>
      <c r="E250" s="411">
        <v>0.8</v>
      </c>
      <c r="F250" s="411">
        <v>0</v>
      </c>
      <c r="G250" s="411">
        <v>0</v>
      </c>
      <c r="H250" s="411">
        <v>0</v>
      </c>
      <c r="I250" s="411">
        <v>0</v>
      </c>
      <c r="J250" s="411">
        <v>0</v>
      </c>
      <c r="K250" s="411">
        <v>0</v>
      </c>
      <c r="L250" s="411">
        <v>0</v>
      </c>
      <c r="M250" s="411">
        <v>0</v>
      </c>
      <c r="N250" s="411">
        <v>0</v>
      </c>
      <c r="O250" s="411">
        <v>0</v>
      </c>
      <c r="P250" s="411">
        <v>0</v>
      </c>
      <c r="Q250" s="411">
        <v>0</v>
      </c>
      <c r="R250" s="411">
        <v>0</v>
      </c>
      <c r="S250" s="411">
        <v>0</v>
      </c>
      <c r="T250" s="411">
        <v>0</v>
      </c>
      <c r="U250" s="411">
        <v>0</v>
      </c>
      <c r="V250" s="411">
        <v>0</v>
      </c>
    </row>
    <row r="251" spans="1:22" x14ac:dyDescent="0.25">
      <c r="A251" s="416" t="s">
        <v>533</v>
      </c>
      <c r="B251" s="416" t="s">
        <v>51</v>
      </c>
      <c r="C251" s="416"/>
      <c r="D251" s="412" t="s">
        <v>652</v>
      </c>
    </row>
    <row r="252" spans="1:22" x14ac:dyDescent="0.25">
      <c r="A252" s="416" t="s">
        <v>533</v>
      </c>
      <c r="B252" s="416" t="s">
        <v>51</v>
      </c>
      <c r="C252" s="416"/>
      <c r="D252" s="413" t="s">
        <v>653</v>
      </c>
      <c r="E252" s="411">
        <v>58774.9</v>
      </c>
      <c r="F252" s="411">
        <v>0</v>
      </c>
      <c r="G252" s="411">
        <v>0</v>
      </c>
      <c r="H252" s="411">
        <v>0</v>
      </c>
      <c r="I252" s="411">
        <v>0</v>
      </c>
      <c r="J252" s="411">
        <v>0</v>
      </c>
      <c r="K252" s="411">
        <v>0</v>
      </c>
      <c r="L252" s="411">
        <v>0</v>
      </c>
      <c r="M252" s="411">
        <v>0</v>
      </c>
      <c r="N252" s="411">
        <v>0</v>
      </c>
      <c r="O252" s="411">
        <v>0</v>
      </c>
      <c r="P252" s="411">
        <v>0</v>
      </c>
      <c r="Q252" s="411">
        <v>0</v>
      </c>
      <c r="R252" s="411">
        <v>0</v>
      </c>
      <c r="S252" s="411">
        <v>0</v>
      </c>
      <c r="T252" s="411">
        <v>0</v>
      </c>
      <c r="U252" s="411">
        <v>0</v>
      </c>
      <c r="V252" s="411">
        <v>0</v>
      </c>
    </row>
    <row r="253" spans="1:22" x14ac:dyDescent="0.25">
      <c r="A253" s="416" t="s">
        <v>533</v>
      </c>
      <c r="B253" s="416" t="s">
        <v>51</v>
      </c>
      <c r="C253" s="416"/>
      <c r="D253" s="413" t="s">
        <v>654</v>
      </c>
      <c r="E253" s="411">
        <v>0</v>
      </c>
      <c r="F253" s="411">
        <v>0</v>
      </c>
      <c r="G253" s="411">
        <v>0</v>
      </c>
      <c r="H253" s="411">
        <v>0</v>
      </c>
      <c r="I253" s="411">
        <v>0</v>
      </c>
      <c r="J253" s="411">
        <v>0</v>
      </c>
      <c r="K253" s="411">
        <v>0</v>
      </c>
      <c r="L253" s="411">
        <v>0</v>
      </c>
      <c r="M253" s="411">
        <v>0</v>
      </c>
      <c r="N253" s="411">
        <v>0</v>
      </c>
      <c r="O253" s="411">
        <v>0</v>
      </c>
      <c r="P253" s="411">
        <v>0</v>
      </c>
      <c r="Q253" s="411">
        <v>0</v>
      </c>
      <c r="R253" s="411">
        <v>0</v>
      </c>
      <c r="S253" s="411">
        <v>0</v>
      </c>
      <c r="T253" s="411">
        <v>0</v>
      </c>
      <c r="U253" s="411">
        <v>0</v>
      </c>
      <c r="V253" s="411">
        <v>0</v>
      </c>
    </row>
    <row r="254" spans="1:22" x14ac:dyDescent="0.25">
      <c r="A254" s="416" t="s">
        <v>533</v>
      </c>
      <c r="B254" s="416" t="s">
        <v>51</v>
      </c>
      <c r="C254" s="416"/>
      <c r="D254" s="414" t="s">
        <v>655</v>
      </c>
      <c r="E254" s="415">
        <v>58.774900000000002</v>
      </c>
      <c r="F254" s="415">
        <v>0</v>
      </c>
      <c r="G254" s="415">
        <v>0</v>
      </c>
      <c r="H254" s="415">
        <v>0</v>
      </c>
      <c r="I254" s="415">
        <v>0</v>
      </c>
      <c r="J254" s="415">
        <v>0</v>
      </c>
      <c r="K254" s="415">
        <v>0</v>
      </c>
      <c r="L254" s="415">
        <v>0</v>
      </c>
      <c r="M254" s="415">
        <v>0</v>
      </c>
      <c r="N254" s="415">
        <v>0</v>
      </c>
      <c r="O254" s="415">
        <v>0</v>
      </c>
      <c r="P254" s="415">
        <v>0</v>
      </c>
      <c r="Q254" s="415">
        <v>0</v>
      </c>
      <c r="R254" s="415">
        <v>0</v>
      </c>
      <c r="S254" s="415">
        <v>0</v>
      </c>
      <c r="T254" s="415">
        <v>0</v>
      </c>
      <c r="U254" s="415">
        <v>0</v>
      </c>
      <c r="V254" s="415">
        <v>0</v>
      </c>
    </row>
    <row r="255" spans="1:22" x14ac:dyDescent="0.25">
      <c r="A255" s="416" t="s">
        <v>533</v>
      </c>
      <c r="B255" s="416" t="s">
        <v>51</v>
      </c>
      <c r="C255" s="416"/>
      <c r="D255" s="414" t="s">
        <v>656</v>
      </c>
      <c r="E255" s="415">
        <v>4.9700000000000001E-2</v>
      </c>
      <c r="F255" s="415">
        <v>4.9700000000000001E-2</v>
      </c>
      <c r="G255" s="415">
        <v>4.9700000000000001E-2</v>
      </c>
      <c r="H255" s="415">
        <v>4.9700000000000001E-2</v>
      </c>
      <c r="I255" s="415">
        <v>4.9700000000000001E-2</v>
      </c>
      <c r="J255" s="415">
        <v>4.9700000000000001E-2</v>
      </c>
      <c r="K255" s="415">
        <v>4.9700000000000001E-2</v>
      </c>
      <c r="L255" s="415">
        <v>4.9700000000000001E-2</v>
      </c>
      <c r="M255" s="415">
        <v>4.9700000000000001E-2</v>
      </c>
      <c r="N255" s="415">
        <v>4.9700000000000001E-2</v>
      </c>
      <c r="O255" s="415">
        <v>4.9700000000000001E-2</v>
      </c>
      <c r="P255" s="415">
        <v>4.9700000000000001E-2</v>
      </c>
      <c r="Q255" s="415">
        <v>4.9700000000000001E-2</v>
      </c>
      <c r="R255" s="415">
        <v>4.9700000000000001E-2</v>
      </c>
      <c r="S255" s="415">
        <v>4.9700000000000001E-2</v>
      </c>
      <c r="T255" s="415">
        <v>4.9700000000000001E-2</v>
      </c>
      <c r="U255" s="415">
        <v>4.9700000000000001E-2</v>
      </c>
      <c r="V255" s="415">
        <v>4.9700000000000001E-2</v>
      </c>
    </row>
    <row r="256" spans="1:22" x14ac:dyDescent="0.25">
      <c r="A256" s="416" t="s">
        <v>533</v>
      </c>
      <c r="B256" s="416" t="s">
        <v>51</v>
      </c>
      <c r="C256" s="416"/>
      <c r="D256" s="414" t="s">
        <v>657</v>
      </c>
      <c r="E256" s="415">
        <v>4.9700000000000001E-2</v>
      </c>
      <c r="F256" s="415">
        <v>4.9700000000000001E-2</v>
      </c>
      <c r="G256" s="415">
        <v>4.9700000000000001E-2</v>
      </c>
      <c r="H256" s="415">
        <v>4.9700000000000001E-2</v>
      </c>
      <c r="I256" s="415">
        <v>4.9700000000000001E-2</v>
      </c>
      <c r="J256" s="415">
        <v>4.9700000000000001E-2</v>
      </c>
      <c r="K256" s="415">
        <v>4.9700000000000001E-2</v>
      </c>
      <c r="L256" s="415">
        <v>4.9700000000000001E-2</v>
      </c>
      <c r="M256" s="415">
        <v>4.9700000000000001E-2</v>
      </c>
      <c r="N256" s="415">
        <v>4.9700000000000001E-2</v>
      </c>
      <c r="O256" s="415">
        <v>4.9700000000000001E-2</v>
      </c>
      <c r="P256" s="415">
        <v>4.9700000000000001E-2</v>
      </c>
      <c r="Q256" s="415">
        <v>4.9700000000000001E-2</v>
      </c>
      <c r="R256" s="415">
        <v>4.9700000000000001E-2</v>
      </c>
      <c r="S256" s="415">
        <v>4.9700000000000001E-2</v>
      </c>
      <c r="T256" s="415">
        <v>4.9700000000000001E-2</v>
      </c>
      <c r="U256" s="415">
        <v>4.9700000000000001E-2</v>
      </c>
      <c r="V256" s="415">
        <v>4.9700000000000001E-2</v>
      </c>
    </row>
    <row r="257" spans="1:22" x14ac:dyDescent="0.25">
      <c r="A257" s="416" t="s">
        <v>533</v>
      </c>
      <c r="B257" s="416" t="s">
        <v>51</v>
      </c>
      <c r="C257" s="416"/>
      <c r="D257" s="414" t="s">
        <v>658</v>
      </c>
      <c r="E257" s="415">
        <v>0</v>
      </c>
      <c r="F257" s="415">
        <v>0</v>
      </c>
      <c r="G257" s="415">
        <v>0</v>
      </c>
      <c r="H257" s="415">
        <v>0</v>
      </c>
      <c r="I257" s="415">
        <v>0</v>
      </c>
      <c r="J257" s="415">
        <v>0</v>
      </c>
      <c r="K257" s="415">
        <v>0</v>
      </c>
      <c r="L257" s="415">
        <v>0</v>
      </c>
      <c r="M257" s="415">
        <v>0</v>
      </c>
      <c r="N257" s="415">
        <v>0</v>
      </c>
      <c r="O257" s="415">
        <v>0</v>
      </c>
      <c r="P257" s="415">
        <v>0</v>
      </c>
      <c r="Q257" s="415">
        <v>0</v>
      </c>
      <c r="R257" s="415">
        <v>0</v>
      </c>
      <c r="S257" s="415">
        <v>0</v>
      </c>
      <c r="T257" s="415">
        <v>0</v>
      </c>
      <c r="U257" s="415">
        <v>0</v>
      </c>
      <c r="V257" s="415">
        <v>0</v>
      </c>
    </row>
    <row r="258" spans="1:22" x14ac:dyDescent="0.25">
      <c r="A258" s="416" t="s">
        <v>533</v>
      </c>
      <c r="B258" s="416" t="s">
        <v>51</v>
      </c>
      <c r="C258" s="416" t="s">
        <v>436</v>
      </c>
      <c r="D258" s="412" t="s">
        <v>659</v>
      </c>
      <c r="E258" s="411">
        <v>2.9211125299999998</v>
      </c>
      <c r="F258" s="411">
        <v>0</v>
      </c>
      <c r="G258" s="411">
        <v>0</v>
      </c>
      <c r="H258" s="411">
        <v>0</v>
      </c>
      <c r="I258" s="411">
        <v>0</v>
      </c>
      <c r="J258" s="411">
        <v>0</v>
      </c>
      <c r="K258" s="411">
        <v>0</v>
      </c>
      <c r="L258" s="411">
        <v>0</v>
      </c>
      <c r="M258" s="411">
        <v>0</v>
      </c>
      <c r="N258" s="411">
        <v>0</v>
      </c>
      <c r="O258" s="411">
        <v>0</v>
      </c>
      <c r="P258" s="411">
        <v>0</v>
      </c>
      <c r="Q258" s="411">
        <v>0</v>
      </c>
      <c r="R258" s="411">
        <v>0</v>
      </c>
      <c r="S258" s="411">
        <v>0</v>
      </c>
      <c r="T258" s="411">
        <v>0</v>
      </c>
      <c r="U258" s="411">
        <v>0</v>
      </c>
      <c r="V258" s="411">
        <v>0</v>
      </c>
    </row>
    <row r="259" spans="1:22" x14ac:dyDescent="0.25">
      <c r="A259" s="416" t="s">
        <v>533</v>
      </c>
      <c r="B259" s="416" t="s">
        <v>51</v>
      </c>
      <c r="C259" s="416"/>
      <c r="D259" s="412" t="s">
        <v>660</v>
      </c>
    </row>
    <row r="260" spans="1:22" x14ac:dyDescent="0.25">
      <c r="A260" s="416" t="s">
        <v>533</v>
      </c>
      <c r="B260" s="416" t="s">
        <v>51</v>
      </c>
      <c r="C260" s="416"/>
      <c r="D260" s="412" t="s">
        <v>661</v>
      </c>
    </row>
    <row r="261" spans="1:22" x14ac:dyDescent="0.25">
      <c r="A261" s="416" t="s">
        <v>533</v>
      </c>
      <c r="B261" s="416" t="s">
        <v>51</v>
      </c>
      <c r="C261" s="416"/>
      <c r="D261" s="413" t="s">
        <v>674</v>
      </c>
      <c r="E261" s="411">
        <v>43200</v>
      </c>
      <c r="F261" s="411">
        <v>43200</v>
      </c>
      <c r="G261" s="411">
        <v>0</v>
      </c>
      <c r="H261" s="411">
        <v>0</v>
      </c>
      <c r="I261" s="411">
        <v>0</v>
      </c>
      <c r="J261" s="411">
        <v>0</v>
      </c>
      <c r="K261" s="411">
        <v>0</v>
      </c>
      <c r="L261" s="411">
        <v>0</v>
      </c>
      <c r="M261" s="411">
        <v>0</v>
      </c>
      <c r="N261" s="411">
        <v>0</v>
      </c>
      <c r="O261" s="411">
        <v>0</v>
      </c>
      <c r="P261" s="411">
        <v>0</v>
      </c>
      <c r="Q261" s="411">
        <v>0</v>
      </c>
      <c r="R261" s="411">
        <v>0</v>
      </c>
      <c r="S261" s="411">
        <v>0</v>
      </c>
      <c r="T261" s="411">
        <v>0</v>
      </c>
      <c r="U261" s="411">
        <v>0</v>
      </c>
      <c r="V261" s="411">
        <v>0</v>
      </c>
    </row>
    <row r="262" spans="1:22" x14ac:dyDescent="0.25">
      <c r="A262" s="416" t="s">
        <v>533</v>
      </c>
      <c r="B262" s="416" t="s">
        <v>51</v>
      </c>
      <c r="C262" s="416"/>
      <c r="D262" s="414" t="s">
        <v>675</v>
      </c>
      <c r="E262" s="415">
        <v>2.4801000000000002</v>
      </c>
      <c r="F262" s="415">
        <v>2.4801000000000002</v>
      </c>
      <c r="G262" s="415">
        <v>2.4801000000000002</v>
      </c>
      <c r="H262" s="415">
        <v>2.4801000000000002</v>
      </c>
      <c r="I262" s="415">
        <v>2.4801000000000002</v>
      </c>
      <c r="J262" s="415">
        <v>2.4801000000000002</v>
      </c>
      <c r="K262" s="415">
        <v>2.4801000000000002</v>
      </c>
      <c r="L262" s="415">
        <v>2.4801000000000002</v>
      </c>
      <c r="M262" s="415">
        <v>2.4801000000000002</v>
      </c>
      <c r="N262" s="415">
        <v>2.4801000000000002</v>
      </c>
      <c r="O262" s="415">
        <v>2.4801000000000002</v>
      </c>
      <c r="P262" s="415">
        <v>2.4801000000000002</v>
      </c>
      <c r="Q262" s="415">
        <v>2.4801000000000002</v>
      </c>
      <c r="R262" s="415">
        <v>2.4801000000000002</v>
      </c>
      <c r="S262" s="415">
        <v>2.4801000000000002</v>
      </c>
      <c r="T262" s="415">
        <v>2.4801000000000002</v>
      </c>
      <c r="U262" s="415">
        <v>2.4801000000000002</v>
      </c>
      <c r="V262" s="415">
        <v>2.4801000000000002</v>
      </c>
    </row>
    <row r="263" spans="1:22" x14ac:dyDescent="0.25">
      <c r="A263" s="416" t="s">
        <v>533</v>
      </c>
      <c r="B263" s="416" t="s">
        <v>51</v>
      </c>
      <c r="C263" s="416" t="s">
        <v>208</v>
      </c>
      <c r="D263" s="417" t="s">
        <v>676</v>
      </c>
      <c r="E263" s="415">
        <v>107.14032</v>
      </c>
      <c r="F263" s="415">
        <v>107.14032</v>
      </c>
      <c r="G263" s="415">
        <v>0</v>
      </c>
      <c r="H263" s="415">
        <v>0</v>
      </c>
      <c r="I263" s="415">
        <v>0</v>
      </c>
      <c r="J263" s="415">
        <v>0</v>
      </c>
      <c r="K263" s="415">
        <v>0</v>
      </c>
      <c r="L263" s="415">
        <v>0</v>
      </c>
      <c r="M263" s="415">
        <v>0</v>
      </c>
      <c r="N263" s="415">
        <v>0</v>
      </c>
      <c r="O263" s="415">
        <v>0</v>
      </c>
      <c r="P263" s="415">
        <v>0</v>
      </c>
      <c r="Q263" s="415">
        <v>0</v>
      </c>
      <c r="R263" s="415">
        <v>0</v>
      </c>
      <c r="S263" s="415">
        <v>0</v>
      </c>
      <c r="T263" s="415">
        <v>0</v>
      </c>
      <c r="U263" s="415">
        <v>0</v>
      </c>
      <c r="V263" s="415">
        <v>0</v>
      </c>
    </row>
    <row r="264" spans="1:22" x14ac:dyDescent="0.25">
      <c r="A264" s="416" t="s">
        <v>533</v>
      </c>
      <c r="B264" s="416" t="s">
        <v>51</v>
      </c>
      <c r="C264" s="416"/>
      <c r="D264" s="412" t="s">
        <v>662</v>
      </c>
      <c r="E264" s="411">
        <v>110.86143253</v>
      </c>
      <c r="F264" s="411">
        <v>107.14032</v>
      </c>
      <c r="G264" s="411">
        <v>0</v>
      </c>
      <c r="H264" s="411">
        <v>0</v>
      </c>
      <c r="I264" s="411">
        <v>0</v>
      </c>
      <c r="J264" s="411">
        <v>0</v>
      </c>
      <c r="K264" s="411">
        <v>0</v>
      </c>
      <c r="L264" s="411">
        <v>0</v>
      </c>
      <c r="M264" s="411">
        <v>0</v>
      </c>
      <c r="N264" s="411">
        <v>0</v>
      </c>
      <c r="O264" s="411">
        <v>0</v>
      </c>
      <c r="P264" s="411">
        <v>0</v>
      </c>
      <c r="Q264" s="411">
        <v>0</v>
      </c>
      <c r="R264" s="411">
        <v>0</v>
      </c>
      <c r="S264" s="411">
        <v>0</v>
      </c>
      <c r="T264" s="411">
        <v>0</v>
      </c>
      <c r="U264" s="411">
        <v>0</v>
      </c>
      <c r="V264" s="411">
        <v>0</v>
      </c>
    </row>
    <row r="265" spans="1:22" x14ac:dyDescent="0.25">
      <c r="A265" s="416" t="s">
        <v>533</v>
      </c>
      <c r="B265" s="416" t="s">
        <v>51</v>
      </c>
      <c r="C265" s="416"/>
      <c r="D265" s="412" t="s">
        <v>663</v>
      </c>
    </row>
    <row r="266" spans="1:22" x14ac:dyDescent="0.25">
      <c r="A266" s="416" t="s">
        <v>533</v>
      </c>
      <c r="B266" s="416" t="s">
        <v>51</v>
      </c>
      <c r="C266" s="416"/>
      <c r="D266" s="414" t="s">
        <v>664</v>
      </c>
      <c r="E266" s="415">
        <v>0</v>
      </c>
      <c r="F266" s="415">
        <v>0</v>
      </c>
      <c r="G266" s="415">
        <v>0</v>
      </c>
      <c r="H266" s="415">
        <v>0</v>
      </c>
      <c r="I266" s="415">
        <v>0</v>
      </c>
      <c r="J266" s="415">
        <v>0</v>
      </c>
      <c r="K266" s="415">
        <v>0</v>
      </c>
      <c r="L266" s="415">
        <v>0</v>
      </c>
      <c r="M266" s="415">
        <v>0</v>
      </c>
      <c r="N266" s="415">
        <v>0</v>
      </c>
      <c r="O266" s="415">
        <v>0</v>
      </c>
      <c r="P266" s="415">
        <v>0</v>
      </c>
      <c r="Q266" s="415">
        <v>0</v>
      </c>
      <c r="R266" s="415">
        <v>0</v>
      </c>
      <c r="S266" s="415">
        <v>0</v>
      </c>
      <c r="T266" s="415">
        <v>0</v>
      </c>
      <c r="U266" s="415">
        <v>0</v>
      </c>
      <c r="V266" s="415">
        <v>0</v>
      </c>
    </row>
    <row r="267" spans="1:22" x14ac:dyDescent="0.25">
      <c r="A267" s="416" t="s">
        <v>533</v>
      </c>
      <c r="B267" s="416" t="s">
        <v>51</v>
      </c>
      <c r="C267" s="416" t="s">
        <v>178</v>
      </c>
      <c r="D267" s="413" t="s">
        <v>665</v>
      </c>
      <c r="E267" s="411">
        <v>0</v>
      </c>
      <c r="F267" s="411">
        <v>0</v>
      </c>
      <c r="G267" s="411">
        <v>0</v>
      </c>
      <c r="H267" s="411">
        <v>0</v>
      </c>
      <c r="I267" s="411">
        <v>0</v>
      </c>
      <c r="J267" s="411">
        <v>0</v>
      </c>
      <c r="K267" s="411">
        <v>0</v>
      </c>
      <c r="L267" s="411">
        <v>0</v>
      </c>
      <c r="M267" s="411">
        <v>0</v>
      </c>
      <c r="N267" s="411">
        <v>0</v>
      </c>
      <c r="O267" s="411">
        <v>0</v>
      </c>
      <c r="P267" s="411">
        <v>0</v>
      </c>
      <c r="Q267" s="411">
        <v>0</v>
      </c>
      <c r="R267" s="411">
        <v>0</v>
      </c>
      <c r="S267" s="411">
        <v>0</v>
      </c>
      <c r="T267" s="411">
        <v>0</v>
      </c>
      <c r="U267" s="411">
        <v>0</v>
      </c>
      <c r="V267" s="411">
        <v>0</v>
      </c>
    </row>
    <row r="268" spans="1:22" x14ac:dyDescent="0.25">
      <c r="A268" s="416" t="s">
        <v>533</v>
      </c>
      <c r="B268" s="416" t="s">
        <v>51</v>
      </c>
      <c r="C268" s="416"/>
      <c r="D268" s="412" t="s">
        <v>666</v>
      </c>
    </row>
    <row r="269" spans="1:22" x14ac:dyDescent="0.25">
      <c r="A269" s="416" t="s">
        <v>533</v>
      </c>
      <c r="B269" s="416" t="s">
        <v>51</v>
      </c>
      <c r="C269" s="416"/>
      <c r="D269" s="414" t="s">
        <v>667</v>
      </c>
      <c r="E269" s="415">
        <v>0</v>
      </c>
      <c r="F269" s="415">
        <v>0</v>
      </c>
      <c r="G269" s="415">
        <v>0</v>
      </c>
      <c r="H269" s="415">
        <v>0</v>
      </c>
      <c r="I269" s="415">
        <v>0</v>
      </c>
      <c r="J269" s="415">
        <v>0</v>
      </c>
      <c r="K269" s="415">
        <v>0</v>
      </c>
      <c r="L269" s="415">
        <v>0</v>
      </c>
      <c r="M269" s="415">
        <v>0</v>
      </c>
      <c r="N269" s="415">
        <v>0</v>
      </c>
      <c r="O269" s="415">
        <v>0</v>
      </c>
      <c r="P269" s="415">
        <v>0</v>
      </c>
      <c r="Q269" s="415">
        <v>0</v>
      </c>
      <c r="R269" s="415">
        <v>0</v>
      </c>
      <c r="S269" s="415">
        <v>0</v>
      </c>
      <c r="T269" s="415">
        <v>0</v>
      </c>
      <c r="U269" s="415">
        <v>0</v>
      </c>
      <c r="V269" s="415">
        <v>0</v>
      </c>
    </row>
    <row r="270" spans="1:22" x14ac:dyDescent="0.25">
      <c r="A270" s="416" t="s">
        <v>533</v>
      </c>
      <c r="B270" s="416" t="s">
        <v>51</v>
      </c>
      <c r="C270" s="416" t="s">
        <v>180</v>
      </c>
      <c r="D270" s="413" t="s">
        <v>668</v>
      </c>
      <c r="E270" s="411">
        <v>0</v>
      </c>
      <c r="F270" s="411">
        <v>0</v>
      </c>
      <c r="G270" s="411">
        <v>0</v>
      </c>
      <c r="H270" s="411">
        <v>0</v>
      </c>
      <c r="I270" s="411">
        <v>0</v>
      </c>
      <c r="J270" s="411">
        <v>0</v>
      </c>
      <c r="K270" s="411">
        <v>0</v>
      </c>
      <c r="L270" s="411">
        <v>0</v>
      </c>
      <c r="M270" s="411">
        <v>0</v>
      </c>
      <c r="N270" s="411">
        <v>0</v>
      </c>
      <c r="O270" s="411">
        <v>0</v>
      </c>
      <c r="P270" s="411">
        <v>0</v>
      </c>
      <c r="Q270" s="411">
        <v>0</v>
      </c>
      <c r="R270" s="411">
        <v>0</v>
      </c>
      <c r="S270" s="411">
        <v>0</v>
      </c>
      <c r="T270" s="411">
        <v>0</v>
      </c>
      <c r="U270" s="411">
        <v>0</v>
      </c>
      <c r="V270" s="411">
        <v>0</v>
      </c>
    </row>
    <row r="271" spans="1:22" x14ac:dyDescent="0.25">
      <c r="A271" s="416" t="s">
        <v>533</v>
      </c>
      <c r="B271" s="416" t="s">
        <v>51</v>
      </c>
      <c r="C271" s="416"/>
      <c r="D271" s="412" t="s">
        <v>669</v>
      </c>
    </row>
    <row r="272" spans="1:22" x14ac:dyDescent="0.25">
      <c r="A272" s="416" t="s">
        <v>533</v>
      </c>
      <c r="B272" s="416" t="s">
        <v>51</v>
      </c>
      <c r="C272" s="416"/>
      <c r="D272" s="414" t="s">
        <v>670</v>
      </c>
      <c r="E272" s="415">
        <v>0</v>
      </c>
      <c r="F272" s="415">
        <v>0</v>
      </c>
      <c r="G272" s="415">
        <v>0</v>
      </c>
      <c r="H272" s="415">
        <v>0</v>
      </c>
      <c r="I272" s="415">
        <v>0</v>
      </c>
      <c r="J272" s="415">
        <v>0</v>
      </c>
      <c r="K272" s="415">
        <v>0</v>
      </c>
      <c r="L272" s="415">
        <v>0</v>
      </c>
      <c r="M272" s="415">
        <v>0</v>
      </c>
      <c r="N272" s="415">
        <v>0</v>
      </c>
      <c r="O272" s="415">
        <v>0</v>
      </c>
      <c r="P272" s="415">
        <v>0</v>
      </c>
      <c r="Q272" s="415">
        <v>0</v>
      </c>
      <c r="R272" s="415">
        <v>0</v>
      </c>
      <c r="S272" s="415">
        <v>0</v>
      </c>
      <c r="T272" s="415">
        <v>0</v>
      </c>
      <c r="U272" s="415">
        <v>0</v>
      </c>
      <c r="V272" s="415">
        <v>0</v>
      </c>
    </row>
    <row r="273" spans="1:22" x14ac:dyDescent="0.25">
      <c r="A273" s="416" t="s">
        <v>533</v>
      </c>
      <c r="B273" s="416" t="s">
        <v>51</v>
      </c>
      <c r="C273" s="416" t="s">
        <v>424</v>
      </c>
      <c r="D273" s="413" t="s">
        <v>671</v>
      </c>
      <c r="E273" s="411">
        <v>0</v>
      </c>
      <c r="F273" s="411">
        <v>0</v>
      </c>
      <c r="G273" s="411">
        <v>0</v>
      </c>
      <c r="H273" s="411">
        <v>0</v>
      </c>
      <c r="I273" s="411">
        <v>0</v>
      </c>
      <c r="J273" s="411">
        <v>0</v>
      </c>
      <c r="K273" s="411">
        <v>0</v>
      </c>
      <c r="L273" s="411">
        <v>0</v>
      </c>
      <c r="M273" s="411">
        <v>0</v>
      </c>
      <c r="N273" s="411">
        <v>0</v>
      </c>
      <c r="O273" s="411">
        <v>0</v>
      </c>
      <c r="P273" s="411">
        <v>0</v>
      </c>
      <c r="Q273" s="411">
        <v>0</v>
      </c>
      <c r="R273" s="411">
        <v>0</v>
      </c>
      <c r="S273" s="411">
        <v>0</v>
      </c>
      <c r="T273" s="411">
        <v>0</v>
      </c>
      <c r="U273" s="411">
        <v>0</v>
      </c>
      <c r="V273" s="411">
        <v>0</v>
      </c>
    </row>
    <row r="274" spans="1:22" x14ac:dyDescent="0.25">
      <c r="A274" s="416" t="s">
        <v>533</v>
      </c>
      <c r="B274" s="416" t="s">
        <v>51</v>
      </c>
      <c r="C274" s="416"/>
      <c r="D274" s="412" t="s">
        <v>672</v>
      </c>
      <c r="E274" s="411">
        <v>110.86143253</v>
      </c>
      <c r="F274" s="411">
        <v>107.14032</v>
      </c>
      <c r="G274" s="411">
        <v>0</v>
      </c>
      <c r="H274" s="411">
        <v>0</v>
      </c>
      <c r="I274" s="411">
        <v>0</v>
      </c>
      <c r="J274" s="411">
        <v>0</v>
      </c>
      <c r="K274" s="411">
        <v>0</v>
      </c>
      <c r="L274" s="411">
        <v>0</v>
      </c>
      <c r="M274" s="411">
        <v>0</v>
      </c>
      <c r="N274" s="411">
        <v>0</v>
      </c>
      <c r="O274" s="411">
        <v>0</v>
      </c>
      <c r="P274" s="411">
        <v>0</v>
      </c>
      <c r="Q274" s="411">
        <v>0</v>
      </c>
      <c r="R274" s="411">
        <v>0</v>
      </c>
      <c r="S274" s="411">
        <v>0</v>
      </c>
      <c r="T274" s="411">
        <v>0</v>
      </c>
      <c r="U274" s="411">
        <v>0</v>
      </c>
      <c r="V274" s="411">
        <v>0</v>
      </c>
    </row>
    <row r="275" spans="1:22" s="84" customFormat="1" x14ac:dyDescent="0.25">
      <c r="A275" s="613" t="s">
        <v>112</v>
      </c>
      <c r="B275" s="613" t="s">
        <v>5</v>
      </c>
      <c r="C275" s="613"/>
      <c r="D275" s="643" t="s">
        <v>682</v>
      </c>
    </row>
    <row r="276" spans="1:22" x14ac:dyDescent="0.25">
      <c r="A276" s="416" t="s">
        <v>112</v>
      </c>
      <c r="B276" s="411" t="s">
        <v>5</v>
      </c>
      <c r="C276" s="416"/>
      <c r="D276" s="412" t="s">
        <v>645</v>
      </c>
    </row>
    <row r="277" spans="1:22" x14ac:dyDescent="0.25">
      <c r="A277" s="416" t="s">
        <v>112</v>
      </c>
      <c r="B277" s="411" t="s">
        <v>5</v>
      </c>
      <c r="C277" s="416"/>
      <c r="D277" s="413" t="s">
        <v>646</v>
      </c>
      <c r="E277" s="411">
        <v>1</v>
      </c>
      <c r="F277" s="411">
        <v>1</v>
      </c>
      <c r="G277" s="411">
        <v>1</v>
      </c>
      <c r="H277" s="411">
        <v>1</v>
      </c>
      <c r="I277" s="411">
        <v>1</v>
      </c>
      <c r="J277" s="411">
        <v>1</v>
      </c>
      <c r="K277" s="411">
        <v>1</v>
      </c>
      <c r="L277" s="411">
        <v>1</v>
      </c>
      <c r="M277" s="411">
        <v>1</v>
      </c>
      <c r="N277" s="411">
        <v>1</v>
      </c>
      <c r="O277" s="411">
        <v>1</v>
      </c>
      <c r="P277" s="411">
        <v>1</v>
      </c>
      <c r="Q277" s="411">
        <v>1</v>
      </c>
      <c r="R277" s="411">
        <v>1</v>
      </c>
      <c r="S277" s="411">
        <v>1</v>
      </c>
      <c r="T277" s="411">
        <v>1</v>
      </c>
      <c r="U277" s="411">
        <v>1</v>
      </c>
      <c r="V277" s="411">
        <v>1</v>
      </c>
    </row>
    <row r="278" spans="1:22" x14ac:dyDescent="0.25">
      <c r="A278" s="416" t="s">
        <v>112</v>
      </c>
      <c r="B278" s="411" t="s">
        <v>5</v>
      </c>
      <c r="C278" s="416"/>
      <c r="D278" s="413" t="s">
        <v>647</v>
      </c>
      <c r="E278" s="411">
        <v>0</v>
      </c>
      <c r="F278" s="411">
        <v>0</v>
      </c>
      <c r="G278" s="411">
        <v>0</v>
      </c>
      <c r="H278" s="411">
        <v>0</v>
      </c>
      <c r="I278" s="411">
        <v>0</v>
      </c>
      <c r="J278" s="411">
        <v>0</v>
      </c>
      <c r="K278" s="411">
        <v>0</v>
      </c>
      <c r="L278" s="411">
        <v>0</v>
      </c>
      <c r="M278" s="411">
        <v>0</v>
      </c>
      <c r="N278" s="411">
        <v>0</v>
      </c>
      <c r="O278" s="411">
        <v>0</v>
      </c>
      <c r="P278" s="411">
        <v>0</v>
      </c>
      <c r="Q278" s="411">
        <v>0</v>
      </c>
      <c r="R278" s="411">
        <v>0</v>
      </c>
      <c r="S278" s="411">
        <v>0</v>
      </c>
      <c r="T278" s="411">
        <v>0</v>
      </c>
      <c r="U278" s="411">
        <v>0</v>
      </c>
      <c r="V278" s="411">
        <v>0</v>
      </c>
    </row>
    <row r="279" spans="1:22" x14ac:dyDescent="0.25">
      <c r="A279" s="416" t="s">
        <v>112</v>
      </c>
      <c r="B279" s="411" t="s">
        <v>5</v>
      </c>
      <c r="C279" s="416"/>
      <c r="D279" s="413" t="s">
        <v>648</v>
      </c>
      <c r="E279" s="411">
        <v>1</v>
      </c>
      <c r="F279" s="411">
        <v>1</v>
      </c>
      <c r="G279" s="411">
        <v>1</v>
      </c>
      <c r="H279" s="411">
        <v>1</v>
      </c>
      <c r="I279" s="411">
        <v>1</v>
      </c>
      <c r="J279" s="411">
        <v>1</v>
      </c>
      <c r="K279" s="411">
        <v>1</v>
      </c>
      <c r="L279" s="411">
        <v>1</v>
      </c>
      <c r="M279" s="411">
        <v>1</v>
      </c>
      <c r="N279" s="411">
        <v>1</v>
      </c>
      <c r="O279" s="411">
        <v>1</v>
      </c>
      <c r="P279" s="411">
        <v>1</v>
      </c>
      <c r="Q279" s="411">
        <v>1</v>
      </c>
      <c r="R279" s="411">
        <v>1</v>
      </c>
      <c r="S279" s="411">
        <v>1</v>
      </c>
      <c r="T279" s="411">
        <v>1</v>
      </c>
      <c r="U279" s="411">
        <v>1</v>
      </c>
      <c r="V279" s="411">
        <v>1</v>
      </c>
    </row>
    <row r="280" spans="1:22" x14ac:dyDescent="0.25">
      <c r="A280" s="416" t="s">
        <v>112</v>
      </c>
      <c r="B280" s="411" t="s">
        <v>5</v>
      </c>
      <c r="C280" s="416"/>
      <c r="D280" s="413" t="s">
        <v>649</v>
      </c>
      <c r="E280" s="411">
        <v>400</v>
      </c>
      <c r="F280" s="411">
        <v>400</v>
      </c>
      <c r="G280" s="411">
        <v>400</v>
      </c>
      <c r="H280" s="411">
        <v>400</v>
      </c>
      <c r="I280" s="411">
        <v>400</v>
      </c>
      <c r="J280" s="411">
        <v>400</v>
      </c>
      <c r="K280" s="411">
        <v>400</v>
      </c>
      <c r="L280" s="411">
        <v>400</v>
      </c>
      <c r="M280" s="411">
        <v>400</v>
      </c>
      <c r="N280" s="411">
        <v>400</v>
      </c>
      <c r="O280" s="411">
        <v>400</v>
      </c>
      <c r="P280" s="411">
        <v>400</v>
      </c>
      <c r="Q280" s="411">
        <v>400</v>
      </c>
      <c r="R280" s="411">
        <v>400</v>
      </c>
      <c r="S280" s="411">
        <v>400</v>
      </c>
      <c r="T280" s="411">
        <v>400</v>
      </c>
      <c r="U280" s="411">
        <v>400</v>
      </c>
      <c r="V280" s="411">
        <v>400</v>
      </c>
    </row>
    <row r="281" spans="1:22" x14ac:dyDescent="0.25">
      <c r="A281" s="416" t="s">
        <v>112</v>
      </c>
      <c r="B281" s="411" t="s">
        <v>5</v>
      </c>
      <c r="C281" s="416"/>
      <c r="D281" s="413" t="s">
        <v>650</v>
      </c>
      <c r="E281" s="411">
        <v>0</v>
      </c>
      <c r="F281" s="411">
        <v>0</v>
      </c>
      <c r="G281" s="411">
        <v>0</v>
      </c>
      <c r="H281" s="411">
        <v>0</v>
      </c>
      <c r="I281" s="411">
        <v>0</v>
      </c>
      <c r="J281" s="411">
        <v>0</v>
      </c>
      <c r="K281" s="411">
        <v>0</v>
      </c>
      <c r="L281" s="411">
        <v>0</v>
      </c>
      <c r="M281" s="411">
        <v>0</v>
      </c>
      <c r="N281" s="411">
        <v>0</v>
      </c>
      <c r="O281" s="411">
        <v>0</v>
      </c>
      <c r="P281" s="411">
        <v>0</v>
      </c>
      <c r="Q281" s="411">
        <v>0</v>
      </c>
      <c r="R281" s="411">
        <v>0</v>
      </c>
      <c r="S281" s="411">
        <v>0</v>
      </c>
      <c r="T281" s="411">
        <v>0</v>
      </c>
      <c r="U281" s="411">
        <v>0</v>
      </c>
      <c r="V281" s="411">
        <v>0</v>
      </c>
    </row>
    <row r="282" spans="1:22" x14ac:dyDescent="0.25">
      <c r="A282" s="416" t="s">
        <v>112</v>
      </c>
      <c r="B282" s="411" t="s">
        <v>5</v>
      </c>
      <c r="C282" s="416" t="s">
        <v>154</v>
      </c>
      <c r="D282" s="412" t="s">
        <v>651</v>
      </c>
      <c r="E282" s="411">
        <v>0.4</v>
      </c>
      <c r="F282" s="411">
        <v>0.4</v>
      </c>
      <c r="G282" s="411">
        <v>0.4</v>
      </c>
      <c r="H282" s="411">
        <v>0.4</v>
      </c>
      <c r="I282" s="411">
        <v>0.4</v>
      </c>
      <c r="J282" s="411">
        <v>0.4</v>
      </c>
      <c r="K282" s="411">
        <v>0.4</v>
      </c>
      <c r="L282" s="411">
        <v>0.4</v>
      </c>
      <c r="M282" s="411">
        <v>0.4</v>
      </c>
      <c r="N282" s="411">
        <v>0.4</v>
      </c>
      <c r="O282" s="411">
        <v>0.4</v>
      </c>
      <c r="P282" s="411">
        <v>0.4</v>
      </c>
      <c r="Q282" s="411">
        <v>0.4</v>
      </c>
      <c r="R282" s="411">
        <v>0.4</v>
      </c>
      <c r="S282" s="411">
        <v>0.4</v>
      </c>
      <c r="T282" s="411">
        <v>0.4</v>
      </c>
      <c r="U282" s="411">
        <v>0.4</v>
      </c>
      <c r="V282" s="411">
        <v>0.4</v>
      </c>
    </row>
    <row r="283" spans="1:22" x14ac:dyDescent="0.25">
      <c r="A283" s="416" t="s">
        <v>112</v>
      </c>
      <c r="B283" s="411" t="s">
        <v>5</v>
      </c>
      <c r="C283" s="416"/>
      <c r="D283" s="412" t="s">
        <v>652</v>
      </c>
    </row>
    <row r="284" spans="1:22" x14ac:dyDescent="0.25">
      <c r="A284" s="416" t="s">
        <v>112</v>
      </c>
      <c r="B284" s="411" t="s">
        <v>5</v>
      </c>
      <c r="C284" s="416"/>
      <c r="D284" s="413" t="s">
        <v>653</v>
      </c>
      <c r="E284" s="411">
        <v>8809.2025940000003</v>
      </c>
      <c r="F284" s="411">
        <v>10137.998799999999</v>
      </c>
      <c r="G284" s="411">
        <v>9514.0040200000003</v>
      </c>
      <c r="H284" s="411">
        <v>3815.6661939999999</v>
      </c>
      <c r="I284" s="411">
        <v>1473.663605</v>
      </c>
      <c r="J284" s="411">
        <v>1259.1612150000001</v>
      </c>
      <c r="K284" s="411">
        <v>7402.731041</v>
      </c>
      <c r="L284" s="411">
        <v>6944.2115469999999</v>
      </c>
      <c r="M284" s="411">
        <v>6957.5193140000001</v>
      </c>
      <c r="N284" s="411">
        <v>11265.272989999999</v>
      </c>
      <c r="O284" s="411">
        <v>6930.7913559999997</v>
      </c>
      <c r="P284" s="411">
        <v>3553.07618</v>
      </c>
      <c r="Q284" s="411">
        <v>1491.666011</v>
      </c>
      <c r="R284" s="411">
        <v>1269.9198369999999</v>
      </c>
      <c r="S284" s="411">
        <v>1685.0335259999999</v>
      </c>
      <c r="T284" s="411">
        <v>3075.4743060000001</v>
      </c>
      <c r="U284" s="411">
        <v>4691.3193769999998</v>
      </c>
      <c r="V284" s="411">
        <v>5700.2117630000002</v>
      </c>
    </row>
    <row r="285" spans="1:22" x14ac:dyDescent="0.25">
      <c r="A285" s="416" t="s">
        <v>112</v>
      </c>
      <c r="B285" s="411" t="s">
        <v>5</v>
      </c>
      <c r="C285" s="416"/>
      <c r="D285" s="413" t="s">
        <v>654</v>
      </c>
      <c r="E285" s="411">
        <v>0</v>
      </c>
      <c r="F285" s="411">
        <v>0</v>
      </c>
      <c r="G285" s="411">
        <v>0</v>
      </c>
      <c r="H285" s="411">
        <v>0</v>
      </c>
      <c r="I285" s="411">
        <v>0</v>
      </c>
      <c r="J285" s="411">
        <v>0</v>
      </c>
      <c r="K285" s="411">
        <v>0</v>
      </c>
      <c r="L285" s="411">
        <v>0</v>
      </c>
      <c r="M285" s="411">
        <v>0</v>
      </c>
      <c r="N285" s="411">
        <v>0</v>
      </c>
      <c r="O285" s="411">
        <v>0</v>
      </c>
      <c r="P285" s="411">
        <v>0</v>
      </c>
      <c r="Q285" s="411">
        <v>0</v>
      </c>
      <c r="R285" s="411">
        <v>0</v>
      </c>
      <c r="S285" s="411">
        <v>0</v>
      </c>
      <c r="T285" s="411">
        <v>0</v>
      </c>
      <c r="U285" s="411">
        <v>0</v>
      </c>
      <c r="V285" s="411">
        <v>0</v>
      </c>
    </row>
    <row r="286" spans="1:22" x14ac:dyDescent="0.25">
      <c r="A286" s="416" t="s">
        <v>112</v>
      </c>
      <c r="B286" s="411" t="s">
        <v>5</v>
      </c>
      <c r="C286" s="416"/>
      <c r="D286" s="414" t="s">
        <v>655</v>
      </c>
      <c r="E286" s="415">
        <v>8.8092025940000003</v>
      </c>
      <c r="F286" s="415">
        <v>10.1379988</v>
      </c>
      <c r="G286" s="415">
        <v>9.5140040199999998</v>
      </c>
      <c r="H286" s="415">
        <v>3.8156661939999998</v>
      </c>
      <c r="I286" s="415">
        <v>1.473663605</v>
      </c>
      <c r="J286" s="415">
        <v>1.259161215</v>
      </c>
      <c r="K286" s="415">
        <v>7.402731041</v>
      </c>
      <c r="L286" s="415">
        <v>6.9442115470000001</v>
      </c>
      <c r="M286" s="415">
        <v>6.9575193139999998</v>
      </c>
      <c r="N286" s="415">
        <v>11.26527299</v>
      </c>
      <c r="O286" s="415">
        <v>6.9307913560000003</v>
      </c>
      <c r="P286" s="415">
        <v>3.5530761800000001</v>
      </c>
      <c r="Q286" s="415">
        <v>1.491666011</v>
      </c>
      <c r="R286" s="415">
        <v>1.269919837</v>
      </c>
      <c r="S286" s="415">
        <v>1.685033526</v>
      </c>
      <c r="T286" s="415">
        <v>3.0754743059999998</v>
      </c>
      <c r="U286" s="415">
        <v>4.6913193770000001</v>
      </c>
      <c r="V286" s="415">
        <v>5.7002117630000004</v>
      </c>
    </row>
    <row r="287" spans="1:22" x14ac:dyDescent="0.25">
      <c r="A287" s="416" t="s">
        <v>112</v>
      </c>
      <c r="B287" s="411" t="s">
        <v>5</v>
      </c>
      <c r="C287" s="416"/>
      <c r="D287" s="414" t="s">
        <v>656</v>
      </c>
      <c r="E287" s="415">
        <v>0.70089999999999997</v>
      </c>
      <c r="F287" s="415">
        <v>0.70089999999999997</v>
      </c>
      <c r="G287" s="415">
        <v>0.70089999999999997</v>
      </c>
      <c r="H287" s="415">
        <v>0.70089999999999997</v>
      </c>
      <c r="I287" s="415">
        <v>0.70089999999999997</v>
      </c>
      <c r="J287" s="415">
        <v>0.70089999999999997</v>
      </c>
      <c r="K287" s="415">
        <v>0.70089999999999997</v>
      </c>
      <c r="L287" s="415">
        <v>0.70089999999999997</v>
      </c>
      <c r="M287" s="415">
        <v>0.70089999999999997</v>
      </c>
      <c r="N287" s="415">
        <v>0.70089999999999997</v>
      </c>
      <c r="O287" s="415">
        <v>0.70089999999999997</v>
      </c>
      <c r="P287" s="415">
        <v>0.70089999999999997</v>
      </c>
      <c r="Q287" s="415">
        <v>0.70089999999999997</v>
      </c>
      <c r="R287" s="415">
        <v>0.70089999999999997</v>
      </c>
      <c r="S287" s="415">
        <v>0.70089999999999997</v>
      </c>
      <c r="T287" s="415">
        <v>0.70089999999999997</v>
      </c>
      <c r="U287" s="415">
        <v>0.70089999999999997</v>
      </c>
      <c r="V287" s="415">
        <v>0.70089999999999997</v>
      </c>
    </row>
    <row r="288" spans="1:22" x14ac:dyDescent="0.25">
      <c r="A288" s="416" t="s">
        <v>112</v>
      </c>
      <c r="B288" s="411" t="s">
        <v>5</v>
      </c>
      <c r="C288" s="416"/>
      <c r="D288" s="414" t="s">
        <v>657</v>
      </c>
      <c r="E288" s="415">
        <v>0.70089999999999997</v>
      </c>
      <c r="F288" s="415">
        <v>0.70089999999999997</v>
      </c>
      <c r="G288" s="415">
        <v>0.70089999999999997</v>
      </c>
      <c r="H288" s="415">
        <v>0.70089999999999997</v>
      </c>
      <c r="I288" s="415">
        <v>0.70089999999999997</v>
      </c>
      <c r="J288" s="415">
        <v>0.70089999999999997</v>
      </c>
      <c r="K288" s="415">
        <v>0.70089999999999997</v>
      </c>
      <c r="L288" s="415">
        <v>0.70089999999999997</v>
      </c>
      <c r="M288" s="415">
        <v>0.70089999999999997</v>
      </c>
      <c r="N288" s="415">
        <v>0.70089999999999997</v>
      </c>
      <c r="O288" s="415">
        <v>0.70089999999999997</v>
      </c>
      <c r="P288" s="415">
        <v>0.70089999999999997</v>
      </c>
      <c r="Q288" s="415">
        <v>0.70089999999999997</v>
      </c>
      <c r="R288" s="415">
        <v>0.70089999999999997</v>
      </c>
      <c r="S288" s="415">
        <v>0.70089999999999997</v>
      </c>
      <c r="T288" s="415">
        <v>0.70089999999999997</v>
      </c>
      <c r="U288" s="415">
        <v>0.70089999999999997</v>
      </c>
      <c r="V288" s="415">
        <v>0.70089999999999997</v>
      </c>
    </row>
    <row r="289" spans="1:22" x14ac:dyDescent="0.25">
      <c r="A289" s="416" t="s">
        <v>112</v>
      </c>
      <c r="B289" s="411" t="s">
        <v>5</v>
      </c>
      <c r="C289" s="416"/>
      <c r="D289" s="414" t="s">
        <v>658</v>
      </c>
      <c r="E289" s="415">
        <v>0</v>
      </c>
      <c r="F289" s="415">
        <v>0</v>
      </c>
      <c r="G289" s="415">
        <v>0</v>
      </c>
      <c r="H289" s="415">
        <v>0</v>
      </c>
      <c r="I289" s="415">
        <v>0</v>
      </c>
      <c r="J289" s="415">
        <v>0</v>
      </c>
      <c r="K289" s="415">
        <v>0</v>
      </c>
      <c r="L289" s="415">
        <v>0</v>
      </c>
      <c r="M289" s="415">
        <v>0</v>
      </c>
      <c r="N289" s="415">
        <v>0</v>
      </c>
      <c r="O289" s="415">
        <v>0</v>
      </c>
      <c r="P289" s="415">
        <v>0</v>
      </c>
      <c r="Q289" s="415">
        <v>0</v>
      </c>
      <c r="R289" s="415">
        <v>0</v>
      </c>
      <c r="S289" s="415">
        <v>0</v>
      </c>
      <c r="T289" s="415">
        <v>0</v>
      </c>
      <c r="U289" s="415">
        <v>0</v>
      </c>
      <c r="V289" s="415">
        <v>0</v>
      </c>
    </row>
    <row r="290" spans="1:22" x14ac:dyDescent="0.25">
      <c r="A290" s="416" t="s">
        <v>112</v>
      </c>
      <c r="B290" s="411" t="s">
        <v>5</v>
      </c>
      <c r="C290" s="416" t="s">
        <v>436</v>
      </c>
      <c r="D290" s="412" t="s">
        <v>659</v>
      </c>
      <c r="E290" s="411">
        <v>6.1743700981345997</v>
      </c>
      <c r="F290" s="411">
        <v>7.1057233589199997</v>
      </c>
      <c r="G290" s="411">
        <v>6.6683654176180003</v>
      </c>
      <c r="H290" s="411">
        <v>2.6744004353745998</v>
      </c>
      <c r="I290" s="411">
        <v>1.0328908207445</v>
      </c>
      <c r="J290" s="411">
        <v>0.88254609559349995</v>
      </c>
      <c r="K290" s="411">
        <v>5.1885741866368997</v>
      </c>
      <c r="L290" s="411">
        <v>4.8671978732922998</v>
      </c>
      <c r="M290" s="411">
        <v>4.8765252871825897</v>
      </c>
      <c r="N290" s="411">
        <v>7.8958298386909904</v>
      </c>
      <c r="O290" s="411">
        <v>4.8577916614204</v>
      </c>
      <c r="P290" s="411">
        <v>2.490351094562</v>
      </c>
      <c r="Q290" s="411">
        <v>1.0455087071098901</v>
      </c>
      <c r="R290" s="411">
        <v>0.89008681375329901</v>
      </c>
      <c r="S290" s="411">
        <v>1.1810399983733999</v>
      </c>
      <c r="T290" s="411">
        <v>2.1555999410753999</v>
      </c>
      <c r="U290" s="411">
        <v>3.28814575133929</v>
      </c>
      <c r="V290" s="411">
        <v>3.9952784246866999</v>
      </c>
    </row>
    <row r="291" spans="1:22" x14ac:dyDescent="0.25">
      <c r="A291" s="416" t="s">
        <v>112</v>
      </c>
      <c r="B291" s="411" t="s">
        <v>5</v>
      </c>
      <c r="C291" s="416"/>
      <c r="D291" s="412" t="s">
        <v>660</v>
      </c>
    </row>
    <row r="292" spans="1:22" x14ac:dyDescent="0.25">
      <c r="A292" s="416" t="s">
        <v>112</v>
      </c>
      <c r="B292" s="411" t="s">
        <v>5</v>
      </c>
      <c r="C292" s="416"/>
      <c r="D292" s="412" t="s">
        <v>661</v>
      </c>
    </row>
    <row r="293" spans="1:22" x14ac:dyDescent="0.25">
      <c r="A293" s="416" t="s">
        <v>112</v>
      </c>
      <c r="B293" s="411" t="s">
        <v>5</v>
      </c>
      <c r="C293" s="416"/>
      <c r="D293" s="412" t="s">
        <v>662</v>
      </c>
      <c r="E293" s="411">
        <v>6.5743700981346</v>
      </c>
      <c r="F293" s="411">
        <v>7.5057233589200001</v>
      </c>
      <c r="G293" s="411">
        <v>7.0683654176179997</v>
      </c>
      <c r="H293" s="411">
        <v>3.07440043537459</v>
      </c>
      <c r="I293" s="411">
        <v>1.4328908207444999</v>
      </c>
      <c r="J293" s="411">
        <v>1.2825460955935</v>
      </c>
      <c r="K293" s="411">
        <v>5.5885741866369001</v>
      </c>
      <c r="L293" s="411">
        <v>5.2671978732923002</v>
      </c>
      <c r="M293" s="411">
        <v>5.2765252871825998</v>
      </c>
      <c r="N293" s="411">
        <v>8.2958298386909899</v>
      </c>
      <c r="O293" s="411">
        <v>5.2577916614204003</v>
      </c>
      <c r="P293" s="411">
        <v>2.8903510945619999</v>
      </c>
      <c r="Q293" s="411">
        <v>1.44550870710989</v>
      </c>
      <c r="R293" s="411">
        <v>1.2900868137532999</v>
      </c>
      <c r="S293" s="411">
        <v>1.5810399983734</v>
      </c>
      <c r="T293" s="411">
        <v>2.5555999410753998</v>
      </c>
      <c r="U293" s="411">
        <v>3.6881457513392899</v>
      </c>
      <c r="V293" s="411">
        <v>4.3952784246867003</v>
      </c>
    </row>
    <row r="294" spans="1:22" x14ac:dyDescent="0.25">
      <c r="A294" s="416" t="s">
        <v>112</v>
      </c>
      <c r="B294" s="411" t="s">
        <v>5</v>
      </c>
      <c r="C294" s="416"/>
      <c r="D294" s="412" t="s">
        <v>663</v>
      </c>
    </row>
    <row r="295" spans="1:22" x14ac:dyDescent="0.25">
      <c r="A295" s="416" t="s">
        <v>112</v>
      </c>
      <c r="B295" s="411" t="s">
        <v>5</v>
      </c>
      <c r="C295" s="416"/>
      <c r="D295" s="414" t="s">
        <v>664</v>
      </c>
      <c r="E295" s="415">
        <v>3.54132328535503</v>
      </c>
      <c r="F295" s="415">
        <v>4.0825536529198896</v>
      </c>
      <c r="G295" s="415">
        <v>4.6151370530302804</v>
      </c>
      <c r="H295" s="415">
        <v>4.7204926546137003</v>
      </c>
      <c r="I295" s="415">
        <v>4.2816079006073897</v>
      </c>
      <c r="J295" s="415">
        <v>4.61774840312499</v>
      </c>
      <c r="K295" s="415">
        <v>3.6370825733754901</v>
      </c>
      <c r="L295" s="415">
        <v>3.1998593487156</v>
      </c>
      <c r="M295" s="415">
        <v>3.4441400635944199</v>
      </c>
      <c r="N295" s="415">
        <v>2.6697967759149801</v>
      </c>
      <c r="O295" s="415">
        <v>3.6621728781104101</v>
      </c>
      <c r="P295" s="415">
        <v>3.9547219031793199</v>
      </c>
      <c r="Q295" s="415">
        <v>4.3060793499123999</v>
      </c>
      <c r="R295" s="415">
        <v>4.66270835833049</v>
      </c>
      <c r="S295" s="415">
        <v>5.2056863414265502</v>
      </c>
      <c r="T295" s="415">
        <v>5.4531502607765896</v>
      </c>
      <c r="U295" s="415">
        <v>5.0764131270513699</v>
      </c>
      <c r="V295" s="415">
        <v>4.0447960531742</v>
      </c>
    </row>
    <row r="296" spans="1:22" x14ac:dyDescent="0.25">
      <c r="A296" s="416" t="s">
        <v>112</v>
      </c>
      <c r="B296" s="411" t="s">
        <v>5</v>
      </c>
      <c r="C296" s="416" t="s">
        <v>178</v>
      </c>
      <c r="D296" s="413" t="s">
        <v>665</v>
      </c>
      <c r="E296" s="411">
        <v>31.196234271542099</v>
      </c>
      <c r="F296" s="411">
        <v>41.388924034237398</v>
      </c>
      <c r="G296" s="411">
        <v>43.908432475380998</v>
      </c>
      <c r="H296" s="411">
        <v>18.011824241234802</v>
      </c>
      <c r="I296" s="411">
        <v>6.3096497340055597</v>
      </c>
      <c r="J296" s="411">
        <v>5.8144896898431799</v>
      </c>
      <c r="K296" s="411">
        <v>26.924344064606899</v>
      </c>
      <c r="L296" s="411">
        <v>22.2205002381268</v>
      </c>
      <c r="M296" s="411">
        <v>23.962671012579399</v>
      </c>
      <c r="N296" s="411">
        <v>30.0759895085042</v>
      </c>
      <c r="O296" s="411">
        <v>25.381756127785302</v>
      </c>
      <c r="P296" s="411">
        <v>14.0514281927107</v>
      </c>
      <c r="Q296" s="411">
        <v>6.4232322069333101</v>
      </c>
      <c r="R296" s="411">
        <v>5.9212658383896004</v>
      </c>
      <c r="S296" s="411">
        <v>8.7717560111440296</v>
      </c>
      <c r="T296" s="411">
        <v>16.771023513775599</v>
      </c>
      <c r="U296" s="411">
        <v>23.815075268593201</v>
      </c>
      <c r="V296" s="411">
        <v>23.0561940412395</v>
      </c>
    </row>
    <row r="297" spans="1:22" x14ac:dyDescent="0.25">
      <c r="A297" s="416" t="s">
        <v>112</v>
      </c>
      <c r="B297" s="411" t="s">
        <v>5</v>
      </c>
      <c r="C297" s="416"/>
      <c r="D297" s="412" t="s">
        <v>666</v>
      </c>
    </row>
    <row r="298" spans="1:22" x14ac:dyDescent="0.25">
      <c r="A298" s="416" t="s">
        <v>112</v>
      </c>
      <c r="B298" s="411" t="s">
        <v>5</v>
      </c>
      <c r="C298" s="416"/>
      <c r="D298" s="414" t="s">
        <v>667</v>
      </c>
      <c r="E298" s="415">
        <v>0</v>
      </c>
      <c r="F298" s="415">
        <v>0</v>
      </c>
      <c r="G298" s="415">
        <v>0</v>
      </c>
      <c r="H298" s="415">
        <v>0</v>
      </c>
      <c r="I298" s="415">
        <v>0</v>
      </c>
      <c r="J298" s="415">
        <v>0</v>
      </c>
      <c r="K298" s="415">
        <v>0</v>
      </c>
      <c r="L298" s="415">
        <v>0</v>
      </c>
      <c r="M298" s="415">
        <v>0</v>
      </c>
      <c r="N298" s="415">
        <v>0</v>
      </c>
      <c r="O298" s="415">
        <v>0</v>
      </c>
      <c r="P298" s="415">
        <v>0</v>
      </c>
      <c r="Q298" s="415">
        <v>0</v>
      </c>
      <c r="R298" s="415">
        <v>0</v>
      </c>
      <c r="S298" s="415">
        <v>0</v>
      </c>
      <c r="T298" s="415">
        <v>0</v>
      </c>
      <c r="U298" s="415">
        <v>0</v>
      </c>
      <c r="V298" s="415">
        <v>0</v>
      </c>
    </row>
    <row r="299" spans="1:22" x14ac:dyDescent="0.25">
      <c r="A299" s="416" t="s">
        <v>112</v>
      </c>
      <c r="B299" s="411" t="s">
        <v>5</v>
      </c>
      <c r="C299" s="416" t="s">
        <v>180</v>
      </c>
      <c r="D299" s="413" t="s">
        <v>668</v>
      </c>
      <c r="E299" s="411">
        <v>0</v>
      </c>
      <c r="F299" s="411">
        <v>0</v>
      </c>
      <c r="G299" s="411">
        <v>0</v>
      </c>
      <c r="H299" s="411">
        <v>0</v>
      </c>
      <c r="I299" s="411">
        <v>0</v>
      </c>
      <c r="J299" s="411">
        <v>0</v>
      </c>
      <c r="K299" s="411">
        <v>0</v>
      </c>
      <c r="L299" s="411">
        <v>0</v>
      </c>
      <c r="M299" s="411">
        <v>0</v>
      </c>
      <c r="N299" s="411">
        <v>0</v>
      </c>
      <c r="O299" s="411">
        <v>0</v>
      </c>
      <c r="P299" s="411">
        <v>0</v>
      </c>
      <c r="Q299" s="411">
        <v>0</v>
      </c>
      <c r="R299" s="411">
        <v>0</v>
      </c>
      <c r="S299" s="411">
        <v>0</v>
      </c>
      <c r="T299" s="411">
        <v>0</v>
      </c>
      <c r="U299" s="411">
        <v>0</v>
      </c>
      <c r="V299" s="411">
        <v>0</v>
      </c>
    </row>
    <row r="300" spans="1:22" x14ac:dyDescent="0.25">
      <c r="A300" s="416" t="s">
        <v>112</v>
      </c>
      <c r="B300" s="411" t="s">
        <v>5</v>
      </c>
      <c r="C300" s="416"/>
      <c r="D300" s="412" t="s">
        <v>669</v>
      </c>
    </row>
    <row r="301" spans="1:22" x14ac:dyDescent="0.25">
      <c r="A301" s="416" t="s">
        <v>112</v>
      </c>
      <c r="B301" s="411" t="s">
        <v>5</v>
      </c>
      <c r="C301" s="416"/>
      <c r="D301" s="414" t="s">
        <v>670</v>
      </c>
      <c r="E301" s="415">
        <v>7.2705548342424002E-3</v>
      </c>
      <c r="F301" s="415">
        <v>7.2705548342424002E-3</v>
      </c>
      <c r="G301" s="415">
        <v>7.2705548342424002E-3</v>
      </c>
      <c r="H301" s="415">
        <v>7.2705548342424002E-3</v>
      </c>
      <c r="I301" s="415">
        <v>7.2705548342424002E-3</v>
      </c>
      <c r="J301" s="415">
        <v>7.2705548342424002E-3</v>
      </c>
      <c r="K301" s="415">
        <v>7.2705548342424002E-3</v>
      </c>
      <c r="L301" s="415">
        <v>7.2705548342424002E-3</v>
      </c>
      <c r="M301" s="415">
        <v>7.2705548342424002E-3</v>
      </c>
      <c r="N301" s="415">
        <v>7.2705548342424002E-3</v>
      </c>
      <c r="O301" s="415">
        <v>7.2705548342424002E-3</v>
      </c>
      <c r="P301" s="415">
        <v>7.2705548342424002E-3</v>
      </c>
      <c r="Q301" s="415">
        <v>7.2705548342424002E-3</v>
      </c>
      <c r="R301" s="415">
        <v>7.2705548342424002E-3</v>
      </c>
      <c r="S301" s="415">
        <v>7.2705548342424002E-3</v>
      </c>
      <c r="T301" s="415">
        <v>7.2705548342424002E-3</v>
      </c>
      <c r="U301" s="415">
        <v>7.2705548342424002E-3</v>
      </c>
      <c r="V301" s="415">
        <v>7.2705548342424002E-3</v>
      </c>
    </row>
    <row r="302" spans="1:22" x14ac:dyDescent="0.25">
      <c r="A302" s="416" t="s">
        <v>112</v>
      </c>
      <c r="B302" s="411" t="s">
        <v>5</v>
      </c>
      <c r="C302" s="416" t="s">
        <v>424</v>
      </c>
      <c r="D302" s="413" t="s">
        <v>671</v>
      </c>
      <c r="E302" s="411">
        <v>7.4930802110046901</v>
      </c>
      <c r="F302" s="411">
        <v>7.1531538209383596</v>
      </c>
      <c r="G302" s="411">
        <v>7.2252895836036197</v>
      </c>
      <c r="H302" s="411">
        <v>3.7729649862026098</v>
      </c>
      <c r="I302" s="411">
        <v>2.03989262129158</v>
      </c>
      <c r="J302" s="411">
        <v>2.18472255225808</v>
      </c>
      <c r="K302" s="411">
        <v>10.0429151194999</v>
      </c>
      <c r="L302" s="411">
        <v>10.7844120493347</v>
      </c>
      <c r="M302" s="411">
        <v>8.4050985313901201</v>
      </c>
      <c r="N302" s="411">
        <v>8.0560930786626308</v>
      </c>
      <c r="O302" s="411">
        <v>6.2358684263117903</v>
      </c>
      <c r="P302" s="411">
        <v>3.9885736197903898</v>
      </c>
      <c r="Q302" s="411">
        <v>2.3386658166276599</v>
      </c>
      <c r="R302" s="411">
        <v>2.4978479575464601</v>
      </c>
      <c r="S302" s="411">
        <v>3.9665346548056601</v>
      </c>
      <c r="T302" s="411">
        <v>6.8476379239324299</v>
      </c>
      <c r="U302" s="411">
        <v>10.6359316763289</v>
      </c>
      <c r="V302" s="411">
        <v>10.9171588496433</v>
      </c>
    </row>
    <row r="303" spans="1:22" x14ac:dyDescent="0.25">
      <c r="A303" s="416" t="s">
        <v>112</v>
      </c>
      <c r="B303" s="411" t="s">
        <v>5</v>
      </c>
      <c r="C303" s="416"/>
      <c r="D303" s="412" t="s">
        <v>672</v>
      </c>
      <c r="E303" s="411">
        <v>45.263684580681399</v>
      </c>
      <c r="F303" s="411">
        <v>56.047801214095799</v>
      </c>
      <c r="G303" s="411">
        <v>58.202087476602699</v>
      </c>
      <c r="H303" s="411">
        <v>24.859189662812</v>
      </c>
      <c r="I303" s="411">
        <v>9.7824331760416499</v>
      </c>
      <c r="J303" s="411">
        <v>9.2817583376947699</v>
      </c>
      <c r="K303" s="411">
        <v>42.555833370743699</v>
      </c>
      <c r="L303" s="411">
        <v>38.272110160753797</v>
      </c>
      <c r="M303" s="411">
        <v>37.644294831152102</v>
      </c>
      <c r="N303" s="411">
        <v>46.427912425857798</v>
      </c>
      <c r="O303" s="411">
        <v>36.875416215517497</v>
      </c>
      <c r="P303" s="411">
        <v>20.930352907063099</v>
      </c>
      <c r="Q303" s="411">
        <v>10.207406730670799</v>
      </c>
      <c r="R303" s="411">
        <v>9.7092006096893595</v>
      </c>
      <c r="S303" s="411">
        <v>14.3193306643231</v>
      </c>
      <c r="T303" s="411">
        <v>26.174261378783399</v>
      </c>
      <c r="U303" s="411">
        <v>38.139152696261398</v>
      </c>
      <c r="V303" s="411">
        <v>38.368631315569601</v>
      </c>
    </row>
    <row r="304" spans="1:22" s="84" customFormat="1" x14ac:dyDescent="0.25">
      <c r="A304" s="613" t="s">
        <v>117</v>
      </c>
      <c r="B304" s="613" t="s">
        <v>41</v>
      </c>
      <c r="C304" s="613"/>
      <c r="D304" s="643" t="s">
        <v>683</v>
      </c>
    </row>
    <row r="305" spans="1:22" x14ac:dyDescent="0.25">
      <c r="A305" s="416" t="s">
        <v>117</v>
      </c>
      <c r="B305" s="411" t="s">
        <v>41</v>
      </c>
      <c r="C305" s="416"/>
      <c r="D305" s="412" t="s">
        <v>645</v>
      </c>
    </row>
    <row r="306" spans="1:22" x14ac:dyDescent="0.25">
      <c r="A306" s="416" t="s">
        <v>117</v>
      </c>
      <c r="B306" s="411" t="s">
        <v>41</v>
      </c>
      <c r="C306" s="416"/>
      <c r="D306" s="413" t="s">
        <v>646</v>
      </c>
      <c r="E306" s="411">
        <v>62</v>
      </c>
      <c r="F306" s="411">
        <v>62</v>
      </c>
      <c r="G306" s="411">
        <v>62</v>
      </c>
      <c r="H306" s="411">
        <v>62</v>
      </c>
      <c r="I306" s="411">
        <v>62</v>
      </c>
      <c r="J306" s="411">
        <v>62</v>
      </c>
      <c r="K306" s="411">
        <v>62</v>
      </c>
      <c r="L306" s="411">
        <v>62</v>
      </c>
      <c r="M306" s="411">
        <v>62</v>
      </c>
      <c r="N306" s="411">
        <v>62</v>
      </c>
      <c r="O306" s="411">
        <v>62</v>
      </c>
      <c r="P306" s="411">
        <v>62</v>
      </c>
      <c r="Q306" s="411">
        <v>62</v>
      </c>
      <c r="R306" s="411">
        <v>62</v>
      </c>
      <c r="S306" s="411">
        <v>62</v>
      </c>
      <c r="T306" s="411">
        <v>62</v>
      </c>
      <c r="U306" s="411">
        <v>62</v>
      </c>
      <c r="V306" s="411">
        <v>62</v>
      </c>
    </row>
    <row r="307" spans="1:22" x14ac:dyDescent="0.25">
      <c r="A307" s="416" t="s">
        <v>117</v>
      </c>
      <c r="B307" s="411" t="s">
        <v>41</v>
      </c>
      <c r="C307" s="416"/>
      <c r="D307" s="413" t="s">
        <v>647</v>
      </c>
      <c r="E307" s="411">
        <v>0</v>
      </c>
      <c r="F307" s="411">
        <v>0</v>
      </c>
      <c r="G307" s="411">
        <v>0</v>
      </c>
      <c r="H307" s="411">
        <v>0</v>
      </c>
      <c r="I307" s="411">
        <v>0</v>
      </c>
      <c r="J307" s="411">
        <v>0</v>
      </c>
      <c r="K307" s="411">
        <v>0</v>
      </c>
      <c r="L307" s="411">
        <v>0</v>
      </c>
      <c r="M307" s="411">
        <v>0</v>
      </c>
      <c r="N307" s="411">
        <v>0</v>
      </c>
      <c r="O307" s="411">
        <v>0</v>
      </c>
      <c r="P307" s="411">
        <v>0</v>
      </c>
      <c r="Q307" s="411">
        <v>0</v>
      </c>
      <c r="R307" s="411">
        <v>0</v>
      </c>
      <c r="S307" s="411">
        <v>0</v>
      </c>
      <c r="T307" s="411">
        <v>0</v>
      </c>
      <c r="U307" s="411">
        <v>0</v>
      </c>
      <c r="V307" s="411">
        <v>0</v>
      </c>
    </row>
    <row r="308" spans="1:22" x14ac:dyDescent="0.25">
      <c r="A308" s="416" t="s">
        <v>117</v>
      </c>
      <c r="B308" s="411" t="s">
        <v>41</v>
      </c>
      <c r="C308" s="416"/>
      <c r="D308" s="413" t="s">
        <v>648</v>
      </c>
      <c r="E308" s="411">
        <v>62</v>
      </c>
      <c r="F308" s="411">
        <v>62</v>
      </c>
      <c r="G308" s="411">
        <v>62</v>
      </c>
      <c r="H308" s="411">
        <v>62</v>
      </c>
      <c r="I308" s="411">
        <v>62</v>
      </c>
      <c r="J308" s="411">
        <v>62</v>
      </c>
      <c r="K308" s="411">
        <v>62</v>
      </c>
      <c r="L308" s="411">
        <v>62</v>
      </c>
      <c r="M308" s="411">
        <v>62</v>
      </c>
      <c r="N308" s="411">
        <v>62</v>
      </c>
      <c r="O308" s="411">
        <v>62</v>
      </c>
      <c r="P308" s="411">
        <v>62</v>
      </c>
      <c r="Q308" s="411">
        <v>62</v>
      </c>
      <c r="R308" s="411">
        <v>62</v>
      </c>
      <c r="S308" s="411">
        <v>62</v>
      </c>
      <c r="T308" s="411">
        <v>62</v>
      </c>
      <c r="U308" s="411">
        <v>62</v>
      </c>
      <c r="V308" s="411">
        <v>62</v>
      </c>
    </row>
    <row r="309" spans="1:22" x14ac:dyDescent="0.25">
      <c r="A309" s="416" t="s">
        <v>117</v>
      </c>
      <c r="B309" s="411" t="s">
        <v>41</v>
      </c>
      <c r="C309" s="416"/>
      <c r="D309" s="413" t="s">
        <v>649</v>
      </c>
      <c r="E309" s="411">
        <v>0</v>
      </c>
      <c r="F309" s="411">
        <v>0</v>
      </c>
      <c r="G309" s="411">
        <v>0</v>
      </c>
      <c r="H309" s="411">
        <v>0</v>
      </c>
      <c r="I309" s="411">
        <v>0</v>
      </c>
      <c r="J309" s="411">
        <v>0</v>
      </c>
      <c r="K309" s="411">
        <v>0</v>
      </c>
      <c r="L309" s="411">
        <v>0</v>
      </c>
      <c r="M309" s="411">
        <v>0</v>
      </c>
      <c r="N309" s="411">
        <v>0</v>
      </c>
      <c r="O309" s="411">
        <v>0</v>
      </c>
      <c r="P309" s="411">
        <v>0</v>
      </c>
      <c r="Q309" s="411">
        <v>0</v>
      </c>
      <c r="R309" s="411">
        <v>0</v>
      </c>
      <c r="S309" s="411">
        <v>0</v>
      </c>
      <c r="T309" s="411">
        <v>0</v>
      </c>
      <c r="U309" s="411">
        <v>0</v>
      </c>
      <c r="V309" s="411">
        <v>0</v>
      </c>
    </row>
    <row r="310" spans="1:22" x14ac:dyDescent="0.25">
      <c r="A310" s="416" t="s">
        <v>117</v>
      </c>
      <c r="B310" s="411" t="s">
        <v>41</v>
      </c>
      <c r="C310" s="416"/>
      <c r="D310" s="413" t="s">
        <v>650</v>
      </c>
      <c r="E310" s="411">
        <v>0</v>
      </c>
      <c r="F310" s="411">
        <v>0</v>
      </c>
      <c r="G310" s="411">
        <v>0</v>
      </c>
      <c r="H310" s="411">
        <v>0</v>
      </c>
      <c r="I310" s="411">
        <v>0</v>
      </c>
      <c r="J310" s="411">
        <v>0</v>
      </c>
      <c r="K310" s="411">
        <v>0</v>
      </c>
      <c r="L310" s="411">
        <v>0</v>
      </c>
      <c r="M310" s="411">
        <v>0</v>
      </c>
      <c r="N310" s="411">
        <v>0</v>
      </c>
      <c r="O310" s="411">
        <v>0</v>
      </c>
      <c r="P310" s="411">
        <v>0</v>
      </c>
      <c r="Q310" s="411">
        <v>0</v>
      </c>
      <c r="R310" s="411">
        <v>0</v>
      </c>
      <c r="S310" s="411">
        <v>0</v>
      </c>
      <c r="T310" s="411">
        <v>0</v>
      </c>
      <c r="U310" s="411">
        <v>0</v>
      </c>
      <c r="V310" s="411">
        <v>0</v>
      </c>
    </row>
    <row r="311" spans="1:22" x14ac:dyDescent="0.25">
      <c r="A311" s="416" t="s">
        <v>117</v>
      </c>
      <c r="B311" s="411" t="s">
        <v>41</v>
      </c>
      <c r="C311" s="416" t="s">
        <v>154</v>
      </c>
      <c r="D311" s="412" t="s">
        <v>651</v>
      </c>
      <c r="E311" s="411">
        <v>0</v>
      </c>
      <c r="F311" s="411">
        <v>0</v>
      </c>
      <c r="G311" s="411">
        <v>0</v>
      </c>
      <c r="H311" s="411">
        <v>0</v>
      </c>
      <c r="I311" s="411">
        <v>0</v>
      </c>
      <c r="J311" s="411">
        <v>0</v>
      </c>
      <c r="K311" s="411">
        <v>0</v>
      </c>
      <c r="L311" s="411">
        <v>0</v>
      </c>
      <c r="M311" s="411">
        <v>0</v>
      </c>
      <c r="N311" s="411">
        <v>0</v>
      </c>
      <c r="O311" s="411">
        <v>0</v>
      </c>
      <c r="P311" s="411">
        <v>0</v>
      </c>
      <c r="Q311" s="411">
        <v>0</v>
      </c>
      <c r="R311" s="411">
        <v>0</v>
      </c>
      <c r="S311" s="411">
        <v>0</v>
      </c>
      <c r="T311" s="411">
        <v>0</v>
      </c>
      <c r="U311" s="411">
        <v>0</v>
      </c>
      <c r="V311" s="411">
        <v>0</v>
      </c>
    </row>
    <row r="312" spans="1:22" x14ac:dyDescent="0.25">
      <c r="A312" s="416" t="s">
        <v>117</v>
      </c>
      <c r="B312" s="411" t="s">
        <v>41</v>
      </c>
      <c r="C312" s="416"/>
      <c r="D312" s="412" t="s">
        <v>652</v>
      </c>
    </row>
    <row r="313" spans="1:22" x14ac:dyDescent="0.25">
      <c r="A313" s="416" t="s">
        <v>117</v>
      </c>
      <c r="B313" s="411" t="s">
        <v>41</v>
      </c>
      <c r="C313" s="416"/>
      <c r="D313" s="413" t="s">
        <v>653</v>
      </c>
      <c r="E313" s="411">
        <v>713850.82500399998</v>
      </c>
      <c r="F313" s="411">
        <v>1059021.2598009999</v>
      </c>
      <c r="G313" s="411">
        <v>1309791.3389099999</v>
      </c>
      <c r="H313" s="411">
        <v>1367405.8945539901</v>
      </c>
      <c r="I313" s="411">
        <v>1389653.7958140001</v>
      </c>
      <c r="J313" s="411">
        <v>1219748.062135</v>
      </c>
      <c r="K313" s="411">
        <v>642997.88151069998</v>
      </c>
      <c r="L313" s="411">
        <v>692910.41433099995</v>
      </c>
      <c r="M313" s="411">
        <v>703331.09925900004</v>
      </c>
      <c r="N313" s="411">
        <v>1043773.995199</v>
      </c>
      <c r="O313" s="411">
        <v>1289843.689573</v>
      </c>
      <c r="P313" s="411">
        <v>1358722.7922410001</v>
      </c>
      <c r="Q313" s="411">
        <v>1401469.6767239999</v>
      </c>
      <c r="R313" s="411">
        <v>1226409.786809</v>
      </c>
      <c r="S313" s="411">
        <v>972077.34864800004</v>
      </c>
      <c r="T313" s="411">
        <v>721146.706280999</v>
      </c>
      <c r="U313" s="411">
        <v>655570.16209150001</v>
      </c>
      <c r="V313" s="411">
        <v>627133.78768269997</v>
      </c>
    </row>
    <row r="314" spans="1:22" x14ac:dyDescent="0.25">
      <c r="A314" s="416" t="s">
        <v>117</v>
      </c>
      <c r="B314" s="411" t="s">
        <v>41</v>
      </c>
      <c r="C314" s="416"/>
      <c r="D314" s="413" t="s">
        <v>654</v>
      </c>
      <c r="E314" s="411">
        <v>0</v>
      </c>
      <c r="F314" s="411">
        <v>0</v>
      </c>
      <c r="G314" s="411">
        <v>0</v>
      </c>
      <c r="H314" s="411">
        <v>0</v>
      </c>
      <c r="I314" s="411">
        <v>0</v>
      </c>
      <c r="J314" s="411">
        <v>0</v>
      </c>
      <c r="K314" s="411">
        <v>0</v>
      </c>
      <c r="L314" s="411">
        <v>0</v>
      </c>
      <c r="M314" s="411">
        <v>0</v>
      </c>
      <c r="N314" s="411">
        <v>0</v>
      </c>
      <c r="O314" s="411">
        <v>0</v>
      </c>
      <c r="P314" s="411">
        <v>0</v>
      </c>
      <c r="Q314" s="411">
        <v>0</v>
      </c>
      <c r="R314" s="411">
        <v>0</v>
      </c>
      <c r="S314" s="411">
        <v>0</v>
      </c>
      <c r="T314" s="411">
        <v>0</v>
      </c>
      <c r="U314" s="411">
        <v>0</v>
      </c>
      <c r="V314" s="411">
        <v>0</v>
      </c>
    </row>
    <row r="315" spans="1:22" x14ac:dyDescent="0.25">
      <c r="A315" s="416" t="s">
        <v>117</v>
      </c>
      <c r="B315" s="411" t="s">
        <v>41</v>
      </c>
      <c r="C315" s="416"/>
      <c r="D315" s="414" t="s">
        <v>655</v>
      </c>
      <c r="E315" s="415">
        <v>713.85082500399994</v>
      </c>
      <c r="F315" s="415">
        <v>1059.02125980099</v>
      </c>
      <c r="G315" s="415">
        <v>1309.7913389099999</v>
      </c>
      <c r="H315" s="415">
        <v>1367.40589455399</v>
      </c>
      <c r="I315" s="415">
        <v>1389.653795814</v>
      </c>
      <c r="J315" s="415">
        <v>1219.7480621350001</v>
      </c>
      <c r="K315" s="415">
        <v>642.99788151070004</v>
      </c>
      <c r="L315" s="415">
        <v>692.91041433099997</v>
      </c>
      <c r="M315" s="415">
        <v>703.33109925899998</v>
      </c>
      <c r="N315" s="415">
        <v>1043.773995199</v>
      </c>
      <c r="O315" s="415">
        <v>1289.8436895729999</v>
      </c>
      <c r="P315" s="415">
        <v>1358.722792241</v>
      </c>
      <c r="Q315" s="415">
        <v>1401.469676724</v>
      </c>
      <c r="R315" s="415">
        <v>1226.409786809</v>
      </c>
      <c r="S315" s="415">
        <v>972.077348648</v>
      </c>
      <c r="T315" s="415">
        <v>721.14670628099998</v>
      </c>
      <c r="U315" s="415">
        <v>655.57016209150004</v>
      </c>
      <c r="V315" s="415">
        <v>627.13378768270002</v>
      </c>
    </row>
    <row r="316" spans="1:22" x14ac:dyDescent="0.25">
      <c r="A316" s="416" t="s">
        <v>117</v>
      </c>
      <c r="B316" s="411" t="s">
        <v>41</v>
      </c>
      <c r="C316" s="416"/>
      <c r="D316" s="414" t="s">
        <v>656</v>
      </c>
      <c r="E316" s="415">
        <v>0.43020000000000003</v>
      </c>
      <c r="F316" s="415">
        <v>0.43020000000000003</v>
      </c>
      <c r="G316" s="415">
        <v>0.43020000000000003</v>
      </c>
      <c r="H316" s="415">
        <v>0.43020000000000003</v>
      </c>
      <c r="I316" s="415">
        <v>0.43020000000000003</v>
      </c>
      <c r="J316" s="415">
        <v>0.43020000000000003</v>
      </c>
      <c r="K316" s="415">
        <v>0.43020000000000003</v>
      </c>
      <c r="L316" s="415">
        <v>0.43020000000000003</v>
      </c>
      <c r="M316" s="415">
        <v>0.43020000000000003</v>
      </c>
      <c r="N316" s="415">
        <v>0.43020000000000003</v>
      </c>
      <c r="O316" s="415">
        <v>0.43020000000000003</v>
      </c>
      <c r="P316" s="415">
        <v>0.43020000000000003</v>
      </c>
      <c r="Q316" s="415">
        <v>0.43020000000000003</v>
      </c>
      <c r="R316" s="415">
        <v>0.43020000000000003</v>
      </c>
      <c r="S316" s="415">
        <v>0.43020000000000003</v>
      </c>
      <c r="T316" s="415">
        <v>0.43020000000000003</v>
      </c>
      <c r="U316" s="415">
        <v>0.43020000000000003</v>
      </c>
      <c r="V316" s="415">
        <v>0.43020000000000003</v>
      </c>
    </row>
    <row r="317" spans="1:22" x14ac:dyDescent="0.25">
      <c r="A317" s="416" t="s">
        <v>117</v>
      </c>
      <c r="B317" s="411" t="s">
        <v>41</v>
      </c>
      <c r="C317" s="416"/>
      <c r="D317" s="414" t="s">
        <v>657</v>
      </c>
      <c r="E317" s="415">
        <v>0.43020000000000003</v>
      </c>
      <c r="F317" s="415">
        <v>0.43020000000000003</v>
      </c>
      <c r="G317" s="415">
        <v>0.43020000000000003</v>
      </c>
      <c r="H317" s="415">
        <v>0.43020000000000003</v>
      </c>
      <c r="I317" s="415">
        <v>0.43020000000000003</v>
      </c>
      <c r="J317" s="415">
        <v>0.43020000000000003</v>
      </c>
      <c r="K317" s="415">
        <v>0.43020000000000003</v>
      </c>
      <c r="L317" s="415">
        <v>0.43020000000000003</v>
      </c>
      <c r="M317" s="415">
        <v>0.43020000000000003</v>
      </c>
      <c r="N317" s="415">
        <v>0.43020000000000003</v>
      </c>
      <c r="O317" s="415">
        <v>0.43020000000000003</v>
      </c>
      <c r="P317" s="415">
        <v>0.43020000000000003</v>
      </c>
      <c r="Q317" s="415">
        <v>0.43020000000000003</v>
      </c>
      <c r="R317" s="415">
        <v>0.43020000000000003</v>
      </c>
      <c r="S317" s="415">
        <v>0.43020000000000003</v>
      </c>
      <c r="T317" s="415">
        <v>0.43020000000000003</v>
      </c>
      <c r="U317" s="415">
        <v>0.43020000000000003</v>
      </c>
      <c r="V317" s="415">
        <v>0.43020000000000003</v>
      </c>
    </row>
    <row r="318" spans="1:22" x14ac:dyDescent="0.25">
      <c r="A318" s="416" t="s">
        <v>117</v>
      </c>
      <c r="B318" s="411" t="s">
        <v>41</v>
      </c>
      <c r="C318" s="416"/>
      <c r="D318" s="414" t="s">
        <v>658</v>
      </c>
      <c r="E318" s="415">
        <v>0</v>
      </c>
      <c r="F318" s="415">
        <v>0</v>
      </c>
      <c r="G318" s="415">
        <v>0</v>
      </c>
      <c r="H318" s="415">
        <v>0</v>
      </c>
      <c r="I318" s="415">
        <v>0</v>
      </c>
      <c r="J318" s="415">
        <v>0</v>
      </c>
      <c r="K318" s="415">
        <v>0</v>
      </c>
      <c r="L318" s="415">
        <v>0</v>
      </c>
      <c r="M318" s="415">
        <v>0</v>
      </c>
      <c r="N318" s="415">
        <v>0</v>
      </c>
      <c r="O318" s="415">
        <v>0</v>
      </c>
      <c r="P318" s="415">
        <v>0</v>
      </c>
      <c r="Q318" s="415">
        <v>0</v>
      </c>
      <c r="R318" s="415">
        <v>0</v>
      </c>
      <c r="S318" s="415">
        <v>0</v>
      </c>
      <c r="T318" s="415">
        <v>0</v>
      </c>
      <c r="U318" s="415">
        <v>0</v>
      </c>
      <c r="V318" s="415">
        <v>0</v>
      </c>
    </row>
    <row r="319" spans="1:22" x14ac:dyDescent="0.25">
      <c r="A319" s="416" t="s">
        <v>117</v>
      </c>
      <c r="B319" s="411" t="s">
        <v>41</v>
      </c>
      <c r="C319" s="416" t="s">
        <v>436</v>
      </c>
      <c r="D319" s="412" t="s">
        <v>659</v>
      </c>
      <c r="E319" s="411">
        <v>307.09862491671998</v>
      </c>
      <c r="F319" s="411">
        <v>455.59094596639</v>
      </c>
      <c r="G319" s="411">
        <v>563.47223399908205</v>
      </c>
      <c r="H319" s="411">
        <v>588.25801583712996</v>
      </c>
      <c r="I319" s="411">
        <v>597.82906295918201</v>
      </c>
      <c r="J319" s="411">
        <v>524.735616330477</v>
      </c>
      <c r="K319" s="411">
        <v>276.61768862590299</v>
      </c>
      <c r="L319" s="411">
        <v>298.09006024519601</v>
      </c>
      <c r="M319" s="411">
        <v>302.57303890122103</v>
      </c>
      <c r="N319" s="411">
        <v>449.03157273460897</v>
      </c>
      <c r="O319" s="411">
        <v>554.89075525430405</v>
      </c>
      <c r="P319" s="411">
        <v>584.52254522207795</v>
      </c>
      <c r="Q319" s="411">
        <v>602.91225492666399</v>
      </c>
      <c r="R319" s="411">
        <v>527.60149028523097</v>
      </c>
      <c r="S319" s="411">
        <v>418.18767538836897</v>
      </c>
      <c r="T319" s="411">
        <v>310.23731304208599</v>
      </c>
      <c r="U319" s="411">
        <v>282.02628373176299</v>
      </c>
      <c r="V319" s="411">
        <v>269.79295546109699</v>
      </c>
    </row>
    <row r="320" spans="1:22" x14ac:dyDescent="0.25">
      <c r="A320" s="416" t="s">
        <v>117</v>
      </c>
      <c r="B320" s="411" t="s">
        <v>41</v>
      </c>
      <c r="C320" s="416"/>
      <c r="D320" s="412" t="s">
        <v>660</v>
      </c>
    </row>
    <row r="321" spans="1:22" x14ac:dyDescent="0.25">
      <c r="A321" s="416" t="s">
        <v>117</v>
      </c>
      <c r="B321" s="411" t="s">
        <v>41</v>
      </c>
      <c r="C321" s="416"/>
      <c r="D321" s="413" t="s">
        <v>678</v>
      </c>
      <c r="E321" s="411">
        <v>550</v>
      </c>
      <c r="F321" s="411">
        <v>550</v>
      </c>
      <c r="G321" s="411">
        <v>550</v>
      </c>
      <c r="H321" s="411">
        <v>550</v>
      </c>
      <c r="I321" s="411">
        <v>550</v>
      </c>
      <c r="J321" s="411">
        <v>550</v>
      </c>
      <c r="K321" s="411">
        <v>550</v>
      </c>
      <c r="L321" s="411">
        <v>550</v>
      </c>
      <c r="M321" s="411">
        <v>550</v>
      </c>
      <c r="N321" s="411">
        <v>550</v>
      </c>
      <c r="O321" s="411">
        <v>550</v>
      </c>
      <c r="P321" s="411">
        <v>550</v>
      </c>
      <c r="Q321" s="411">
        <v>550</v>
      </c>
      <c r="R321" s="411">
        <v>550</v>
      </c>
      <c r="S321" s="411">
        <v>550</v>
      </c>
      <c r="T321" s="411">
        <v>550</v>
      </c>
      <c r="U321" s="411">
        <v>550</v>
      </c>
      <c r="V321" s="411">
        <v>550</v>
      </c>
    </row>
    <row r="322" spans="1:22" x14ac:dyDescent="0.25">
      <c r="A322" s="416" t="s">
        <v>117</v>
      </c>
      <c r="B322" s="411" t="s">
        <v>41</v>
      </c>
      <c r="C322" s="416" t="s">
        <v>535</v>
      </c>
      <c r="D322" s="417" t="s">
        <v>679</v>
      </c>
      <c r="E322" s="415">
        <v>34.1</v>
      </c>
      <c r="F322" s="415">
        <v>34.1</v>
      </c>
      <c r="G322" s="415">
        <v>34.1</v>
      </c>
      <c r="H322" s="415">
        <v>34.1</v>
      </c>
      <c r="I322" s="415">
        <v>34.1</v>
      </c>
      <c r="J322" s="415">
        <v>34.1</v>
      </c>
      <c r="K322" s="415">
        <v>34.1</v>
      </c>
      <c r="L322" s="415">
        <v>34.1</v>
      </c>
      <c r="M322" s="415">
        <v>34.1</v>
      </c>
      <c r="N322" s="415">
        <v>34.1</v>
      </c>
      <c r="O322" s="415">
        <v>34.1</v>
      </c>
      <c r="P322" s="415">
        <v>34.1</v>
      </c>
      <c r="Q322" s="415">
        <v>34.1</v>
      </c>
      <c r="R322" s="415">
        <v>34.1</v>
      </c>
      <c r="S322" s="415">
        <v>34.1</v>
      </c>
      <c r="T322" s="415">
        <v>34.1</v>
      </c>
      <c r="U322" s="415">
        <v>34.1</v>
      </c>
      <c r="V322" s="415">
        <v>34.1</v>
      </c>
    </row>
    <row r="323" spans="1:22" x14ac:dyDescent="0.25">
      <c r="A323" s="416" t="s">
        <v>117</v>
      </c>
      <c r="B323" s="411" t="s">
        <v>41</v>
      </c>
      <c r="C323" s="416"/>
      <c r="D323" s="412" t="s">
        <v>661</v>
      </c>
    </row>
    <row r="324" spans="1:22" x14ac:dyDescent="0.25">
      <c r="A324" s="416" t="s">
        <v>117</v>
      </c>
      <c r="B324" s="411" t="s">
        <v>41</v>
      </c>
      <c r="C324" s="416" t="s">
        <v>536</v>
      </c>
      <c r="D324" s="412" t="s">
        <v>684</v>
      </c>
      <c r="E324" s="411">
        <v>5.1749999999999998</v>
      </c>
      <c r="F324" s="411">
        <v>5.1749999999999998</v>
      </c>
      <c r="G324" s="411">
        <v>5.1749999999999998</v>
      </c>
      <c r="H324" s="411">
        <v>5.1749999999999998</v>
      </c>
      <c r="I324" s="411">
        <v>5.1749999999999998</v>
      </c>
      <c r="J324" s="411">
        <v>5.1749999999999998</v>
      </c>
      <c r="K324" s="411">
        <v>5.1749999999999998</v>
      </c>
      <c r="L324" s="411">
        <v>5.1749999999999998</v>
      </c>
      <c r="M324" s="411">
        <v>5.1749999999999998</v>
      </c>
      <c r="N324" s="411">
        <v>5.1749999999999998</v>
      </c>
      <c r="O324" s="411">
        <v>5.1749999999999998</v>
      </c>
      <c r="P324" s="411">
        <v>5.1749999999999998</v>
      </c>
      <c r="Q324" s="411">
        <v>5.1749999999999998</v>
      </c>
      <c r="R324" s="411">
        <v>5.1749999999999998</v>
      </c>
      <c r="S324" s="411">
        <v>5.1749999999999998</v>
      </c>
      <c r="T324" s="411">
        <v>5.1749999999999998</v>
      </c>
      <c r="U324" s="411">
        <v>5.1749999999999998</v>
      </c>
      <c r="V324" s="411">
        <v>5.1749999999999998</v>
      </c>
    </row>
    <row r="325" spans="1:22" x14ac:dyDescent="0.25">
      <c r="A325" s="416" t="s">
        <v>117</v>
      </c>
      <c r="B325" s="411" t="s">
        <v>41</v>
      </c>
      <c r="C325" s="416"/>
      <c r="D325" s="412" t="s">
        <v>662</v>
      </c>
      <c r="E325" s="411">
        <v>346.37362491672002</v>
      </c>
      <c r="F325" s="411">
        <v>494.86594596638997</v>
      </c>
      <c r="G325" s="411">
        <v>602.74723399908203</v>
      </c>
      <c r="H325" s="411">
        <v>627.53301583713005</v>
      </c>
      <c r="I325" s="411">
        <v>637.10406295918199</v>
      </c>
      <c r="J325" s="411">
        <v>564.01061633047698</v>
      </c>
      <c r="K325" s="411">
        <v>315.89268862590302</v>
      </c>
      <c r="L325" s="411">
        <v>337.36506024519599</v>
      </c>
      <c r="M325" s="411">
        <v>341.848038901221</v>
      </c>
      <c r="N325" s="411">
        <v>488.30657273460901</v>
      </c>
      <c r="O325" s="411">
        <v>594.16575525430403</v>
      </c>
      <c r="P325" s="411">
        <v>623.79754522207804</v>
      </c>
      <c r="Q325" s="411">
        <v>642.18725492666397</v>
      </c>
      <c r="R325" s="411">
        <v>566.87649028523094</v>
      </c>
      <c r="S325" s="411">
        <v>457.46267538836901</v>
      </c>
      <c r="T325" s="411">
        <v>349.51231304208602</v>
      </c>
      <c r="U325" s="411">
        <v>321.30128373176302</v>
      </c>
      <c r="V325" s="411">
        <v>309.06795546109697</v>
      </c>
    </row>
    <row r="326" spans="1:22" x14ac:dyDescent="0.25">
      <c r="A326" s="416" t="s">
        <v>117</v>
      </c>
      <c r="B326" s="411" t="s">
        <v>41</v>
      </c>
      <c r="C326" s="416"/>
      <c r="D326" s="412" t="s">
        <v>663</v>
      </c>
    </row>
    <row r="327" spans="1:22" x14ac:dyDescent="0.25">
      <c r="A327" s="416" t="s">
        <v>117</v>
      </c>
      <c r="B327" s="411" t="s">
        <v>41</v>
      </c>
      <c r="C327" s="416"/>
      <c r="D327" s="414" t="s">
        <v>664</v>
      </c>
      <c r="E327" s="415">
        <v>0</v>
      </c>
      <c r="F327" s="415">
        <v>0</v>
      </c>
      <c r="G327" s="415">
        <v>0</v>
      </c>
      <c r="H327" s="415">
        <v>0</v>
      </c>
      <c r="I327" s="415">
        <v>0</v>
      </c>
      <c r="J327" s="415">
        <v>0</v>
      </c>
      <c r="K327" s="415">
        <v>0</v>
      </c>
      <c r="L327" s="415">
        <v>0</v>
      </c>
      <c r="M327" s="415">
        <v>0</v>
      </c>
      <c r="N327" s="415">
        <v>0</v>
      </c>
      <c r="O327" s="415">
        <v>0</v>
      </c>
      <c r="P327" s="415">
        <v>0</v>
      </c>
      <c r="Q327" s="415">
        <v>0</v>
      </c>
      <c r="R327" s="415">
        <v>0</v>
      </c>
      <c r="S327" s="415">
        <v>0</v>
      </c>
      <c r="T327" s="415">
        <v>0</v>
      </c>
      <c r="U327" s="415">
        <v>0</v>
      </c>
      <c r="V327" s="415">
        <v>0</v>
      </c>
    </row>
    <row r="328" spans="1:22" x14ac:dyDescent="0.25">
      <c r="A328" s="416" t="s">
        <v>117</v>
      </c>
      <c r="B328" s="411" t="s">
        <v>41</v>
      </c>
      <c r="C328" s="416" t="s">
        <v>178</v>
      </c>
      <c r="D328" s="413" t="s">
        <v>665</v>
      </c>
      <c r="E328" s="411">
        <v>0</v>
      </c>
      <c r="F328" s="411">
        <v>0</v>
      </c>
      <c r="G328" s="411">
        <v>0</v>
      </c>
      <c r="H328" s="411">
        <v>0</v>
      </c>
      <c r="I328" s="411">
        <v>0</v>
      </c>
      <c r="J328" s="411">
        <v>0</v>
      </c>
      <c r="K328" s="411">
        <v>0</v>
      </c>
      <c r="L328" s="411">
        <v>0</v>
      </c>
      <c r="M328" s="411">
        <v>0</v>
      </c>
      <c r="N328" s="411">
        <v>0</v>
      </c>
      <c r="O328" s="411">
        <v>0</v>
      </c>
      <c r="P328" s="411">
        <v>0</v>
      </c>
      <c r="Q328" s="411">
        <v>0</v>
      </c>
      <c r="R328" s="411">
        <v>0</v>
      </c>
      <c r="S328" s="411">
        <v>0</v>
      </c>
      <c r="T328" s="411">
        <v>0</v>
      </c>
      <c r="U328" s="411">
        <v>0</v>
      </c>
      <c r="V328" s="411">
        <v>0</v>
      </c>
    </row>
    <row r="329" spans="1:22" x14ac:dyDescent="0.25">
      <c r="A329" s="416" t="s">
        <v>117</v>
      </c>
      <c r="B329" s="411" t="s">
        <v>41</v>
      </c>
      <c r="C329" s="416"/>
      <c r="D329" s="412" t="s">
        <v>666</v>
      </c>
    </row>
    <row r="330" spans="1:22" x14ac:dyDescent="0.25">
      <c r="A330" s="416" t="s">
        <v>117</v>
      </c>
      <c r="B330" s="411" t="s">
        <v>41</v>
      </c>
      <c r="C330" s="416"/>
      <c r="D330" s="414" t="s">
        <v>667</v>
      </c>
      <c r="E330" s="415">
        <v>0.34906843462946002</v>
      </c>
      <c r="F330" s="415">
        <v>0.16939007523933</v>
      </c>
      <c r="G330" s="415">
        <v>9.4024398016510996E-2</v>
      </c>
      <c r="H330" s="415">
        <v>7.9005885786712304E-2</v>
      </c>
      <c r="I330" s="415">
        <v>4.2818241030573301E-2</v>
      </c>
      <c r="J330" s="415">
        <v>5.3348528484577801E-2</v>
      </c>
      <c r="K330" s="415">
        <v>0.24690512534735301</v>
      </c>
      <c r="L330" s="415">
        <v>0.286805863570613</v>
      </c>
      <c r="M330" s="415">
        <v>0.2714755224323</v>
      </c>
      <c r="N330" s="415">
        <v>0.23977615362243901</v>
      </c>
      <c r="O330" s="415">
        <v>0.112823983088882</v>
      </c>
      <c r="P330" s="415">
        <v>3.1676324500992899E-2</v>
      </c>
      <c r="Q330" s="415">
        <v>5.1767532114618299E-2</v>
      </c>
      <c r="R330" s="415">
        <v>6.4560825100963504E-2</v>
      </c>
      <c r="S330" s="415">
        <v>0.10990553607190399</v>
      </c>
      <c r="T330" s="415">
        <v>0.18637651503338701</v>
      </c>
      <c r="U330" s="415">
        <v>0.28860955010716799</v>
      </c>
      <c r="V330" s="415">
        <v>0.33287319112658798</v>
      </c>
    </row>
    <row r="331" spans="1:22" x14ac:dyDescent="0.25">
      <c r="A331" s="416" t="s">
        <v>117</v>
      </c>
      <c r="B331" s="411" t="s">
        <v>41</v>
      </c>
      <c r="C331" s="416" t="s">
        <v>180</v>
      </c>
      <c r="D331" s="413" t="s">
        <v>668</v>
      </c>
      <c r="E331" s="411">
        <v>249.182790043095</v>
      </c>
      <c r="F331" s="411">
        <v>179.38769087774099</v>
      </c>
      <c r="G331" s="411">
        <v>123.15234216825201</v>
      </c>
      <c r="H331" s="411">
        <v>108.03311392921</v>
      </c>
      <c r="I331" s="411">
        <v>59.502531178215001</v>
      </c>
      <c r="J331" s="411">
        <v>65.0717642368177</v>
      </c>
      <c r="K331" s="411">
        <v>158.75947253248199</v>
      </c>
      <c r="L331" s="411">
        <v>198.73076975927401</v>
      </c>
      <c r="M331" s="411">
        <v>190.93717761422101</v>
      </c>
      <c r="N331" s="411">
        <v>250.272113819943</v>
      </c>
      <c r="O331" s="411">
        <v>145.52530261968499</v>
      </c>
      <c r="P331" s="411">
        <v>43.0393440739211</v>
      </c>
      <c r="Q331" s="411">
        <v>72.550626497473402</v>
      </c>
      <c r="R331" s="411">
        <v>79.1780277482858</v>
      </c>
      <c r="S331" s="411">
        <v>106.836682106513</v>
      </c>
      <c r="T331" s="411">
        <v>134.40480994445801</v>
      </c>
      <c r="U331" s="411">
        <v>189.203809544911</v>
      </c>
      <c r="V331" s="411">
        <v>208.756025169244</v>
      </c>
    </row>
    <row r="332" spans="1:22" x14ac:dyDescent="0.25">
      <c r="A332" s="416" t="s">
        <v>117</v>
      </c>
      <c r="B332" s="411" t="s">
        <v>41</v>
      </c>
      <c r="C332" s="416"/>
      <c r="D332" s="412" t="s">
        <v>669</v>
      </c>
    </row>
    <row r="333" spans="1:22" x14ac:dyDescent="0.25">
      <c r="A333" s="416" t="s">
        <v>117</v>
      </c>
      <c r="B333" s="411" t="s">
        <v>41</v>
      </c>
      <c r="C333" s="416"/>
      <c r="D333" s="414" t="s">
        <v>670</v>
      </c>
      <c r="E333" s="415">
        <v>0</v>
      </c>
      <c r="F333" s="415">
        <v>0</v>
      </c>
      <c r="G333" s="415">
        <v>0</v>
      </c>
      <c r="H333" s="415">
        <v>0</v>
      </c>
      <c r="I333" s="415">
        <v>0</v>
      </c>
      <c r="J333" s="415">
        <v>0</v>
      </c>
      <c r="K333" s="415">
        <v>0</v>
      </c>
      <c r="L333" s="415">
        <v>0</v>
      </c>
      <c r="M333" s="415">
        <v>0</v>
      </c>
      <c r="N333" s="415">
        <v>0</v>
      </c>
      <c r="O333" s="415">
        <v>0</v>
      </c>
      <c r="P333" s="415">
        <v>0</v>
      </c>
      <c r="Q333" s="415">
        <v>0</v>
      </c>
      <c r="R333" s="415">
        <v>0</v>
      </c>
      <c r="S333" s="415">
        <v>0</v>
      </c>
      <c r="T333" s="415">
        <v>0</v>
      </c>
      <c r="U333" s="415">
        <v>0</v>
      </c>
      <c r="V333" s="415">
        <v>0</v>
      </c>
    </row>
    <row r="334" spans="1:22" x14ac:dyDescent="0.25">
      <c r="A334" s="416" t="s">
        <v>117</v>
      </c>
      <c r="B334" s="411" t="s">
        <v>41</v>
      </c>
      <c r="C334" s="411" t="s">
        <v>424</v>
      </c>
      <c r="D334" s="413" t="s">
        <v>671</v>
      </c>
      <c r="E334" s="411">
        <v>0</v>
      </c>
      <c r="F334" s="411">
        <v>0</v>
      </c>
      <c r="G334" s="411">
        <v>0</v>
      </c>
      <c r="H334" s="411">
        <v>0</v>
      </c>
      <c r="I334" s="411">
        <v>0</v>
      </c>
      <c r="J334" s="411">
        <v>0</v>
      </c>
      <c r="K334" s="411">
        <v>0</v>
      </c>
      <c r="L334" s="411">
        <v>0</v>
      </c>
      <c r="M334" s="411">
        <v>0</v>
      </c>
      <c r="N334" s="411">
        <v>0</v>
      </c>
      <c r="O334" s="411">
        <v>0</v>
      </c>
      <c r="P334" s="411">
        <v>0</v>
      </c>
      <c r="Q334" s="411">
        <v>0</v>
      </c>
      <c r="R334" s="411">
        <v>0</v>
      </c>
      <c r="S334" s="411">
        <v>0</v>
      </c>
      <c r="T334" s="411">
        <v>0</v>
      </c>
      <c r="U334" s="411">
        <v>0</v>
      </c>
      <c r="V334" s="411">
        <v>0</v>
      </c>
    </row>
    <row r="335" spans="1:22" x14ac:dyDescent="0.25">
      <c r="A335" s="416" t="s">
        <v>117</v>
      </c>
      <c r="B335" s="411" t="s">
        <v>41</v>
      </c>
      <c r="C335" s="411"/>
      <c r="D335" s="412" t="s">
        <v>672</v>
      </c>
      <c r="E335" s="411">
        <v>595.55641495981604</v>
      </c>
      <c r="F335" s="411">
        <v>674.25363684413196</v>
      </c>
      <c r="G335" s="411">
        <v>725.89957616733398</v>
      </c>
      <c r="H335" s="411">
        <v>735.56612976634096</v>
      </c>
      <c r="I335" s="411">
        <v>696.60659413739802</v>
      </c>
      <c r="J335" s="411">
        <v>629.08238056729397</v>
      </c>
      <c r="K335" s="411">
        <v>474.65216115838501</v>
      </c>
      <c r="L335" s="411">
        <v>536.09583000447003</v>
      </c>
      <c r="M335" s="411">
        <v>532.78521651544304</v>
      </c>
      <c r="N335" s="411">
        <v>738.57868655455297</v>
      </c>
      <c r="O335" s="411">
        <v>739.69105787398996</v>
      </c>
      <c r="P335" s="411">
        <v>666.83688929599896</v>
      </c>
      <c r="Q335" s="411">
        <v>714.73788142413798</v>
      </c>
      <c r="R335" s="411">
        <v>646.05451803351696</v>
      </c>
      <c r="S335" s="411">
        <v>564.299357494883</v>
      </c>
      <c r="T335" s="411">
        <v>483.91712298654397</v>
      </c>
      <c r="U335" s="411">
        <v>510.50509327667402</v>
      </c>
      <c r="V335" s="411">
        <v>517.82398063034202</v>
      </c>
    </row>
    <row r="336" spans="1:22" s="84" customFormat="1" x14ac:dyDescent="0.25">
      <c r="A336" s="613" t="s">
        <v>500</v>
      </c>
      <c r="B336" s="613" t="s">
        <v>87</v>
      </c>
      <c r="C336" s="613"/>
      <c r="D336" s="643" t="s">
        <v>685</v>
      </c>
    </row>
    <row r="337" spans="1:22" x14ac:dyDescent="0.25">
      <c r="A337" s="416" t="s">
        <v>500</v>
      </c>
      <c r="B337" s="416" t="s">
        <v>87</v>
      </c>
      <c r="C337" s="416"/>
      <c r="D337" s="412" t="s">
        <v>645</v>
      </c>
    </row>
    <row r="338" spans="1:22" x14ac:dyDescent="0.25">
      <c r="A338" s="416" t="s">
        <v>500</v>
      </c>
      <c r="B338" s="416" t="s">
        <v>87</v>
      </c>
      <c r="C338" s="416"/>
      <c r="D338" s="413" t="s">
        <v>646</v>
      </c>
      <c r="E338" s="411">
        <v>2</v>
      </c>
      <c r="F338" s="411">
        <v>2</v>
      </c>
      <c r="G338" s="411">
        <v>2</v>
      </c>
      <c r="H338" s="411">
        <v>2</v>
      </c>
      <c r="I338" s="411">
        <v>2</v>
      </c>
      <c r="J338" s="411">
        <v>2</v>
      </c>
      <c r="K338" s="411">
        <v>2</v>
      </c>
      <c r="L338" s="411">
        <v>2</v>
      </c>
      <c r="M338" s="411">
        <v>2</v>
      </c>
      <c r="N338" s="411">
        <v>2</v>
      </c>
      <c r="O338" s="411">
        <v>2</v>
      </c>
      <c r="P338" s="411">
        <v>2</v>
      </c>
      <c r="Q338" s="411">
        <v>2</v>
      </c>
      <c r="R338" s="411">
        <v>2</v>
      </c>
      <c r="S338" s="411">
        <v>2</v>
      </c>
      <c r="T338" s="411">
        <v>2</v>
      </c>
      <c r="U338" s="411">
        <v>2</v>
      </c>
      <c r="V338" s="411">
        <v>2</v>
      </c>
    </row>
    <row r="339" spans="1:22" x14ac:dyDescent="0.25">
      <c r="A339" s="416" t="s">
        <v>500</v>
      </c>
      <c r="B339" s="416" t="s">
        <v>87</v>
      </c>
      <c r="C339" s="416"/>
      <c r="D339" s="413" t="s">
        <v>647</v>
      </c>
      <c r="E339" s="411">
        <v>0</v>
      </c>
      <c r="F339" s="411">
        <v>0</v>
      </c>
      <c r="G339" s="411">
        <v>0</v>
      </c>
      <c r="H339" s="411">
        <v>0</v>
      </c>
      <c r="I339" s="411">
        <v>0</v>
      </c>
      <c r="J339" s="411">
        <v>0</v>
      </c>
      <c r="K339" s="411">
        <v>0</v>
      </c>
      <c r="L339" s="411">
        <v>0</v>
      </c>
      <c r="M339" s="411">
        <v>0</v>
      </c>
      <c r="N339" s="411">
        <v>0</v>
      </c>
      <c r="O339" s="411">
        <v>0</v>
      </c>
      <c r="P339" s="411">
        <v>0</v>
      </c>
      <c r="Q339" s="411">
        <v>0</v>
      </c>
      <c r="R339" s="411">
        <v>0</v>
      </c>
      <c r="S339" s="411">
        <v>0</v>
      </c>
      <c r="T339" s="411">
        <v>0</v>
      </c>
      <c r="U339" s="411">
        <v>0</v>
      </c>
      <c r="V339" s="411">
        <v>0</v>
      </c>
    </row>
    <row r="340" spans="1:22" x14ac:dyDescent="0.25">
      <c r="A340" s="416" t="s">
        <v>500</v>
      </c>
      <c r="B340" s="416" t="s">
        <v>87</v>
      </c>
      <c r="C340" s="416"/>
      <c r="D340" s="413" t="s">
        <v>648</v>
      </c>
      <c r="E340" s="411">
        <v>2</v>
      </c>
      <c r="F340" s="411">
        <v>2</v>
      </c>
      <c r="G340" s="411">
        <v>2</v>
      </c>
      <c r="H340" s="411">
        <v>2</v>
      </c>
      <c r="I340" s="411">
        <v>2</v>
      </c>
      <c r="J340" s="411">
        <v>2</v>
      </c>
      <c r="K340" s="411">
        <v>2</v>
      </c>
      <c r="L340" s="411">
        <v>2</v>
      </c>
      <c r="M340" s="411">
        <v>2</v>
      </c>
      <c r="N340" s="411">
        <v>2</v>
      </c>
      <c r="O340" s="411">
        <v>2</v>
      </c>
      <c r="P340" s="411">
        <v>2</v>
      </c>
      <c r="Q340" s="411">
        <v>2</v>
      </c>
      <c r="R340" s="411">
        <v>2</v>
      </c>
      <c r="S340" s="411">
        <v>2</v>
      </c>
      <c r="T340" s="411">
        <v>2</v>
      </c>
      <c r="U340" s="411">
        <v>2</v>
      </c>
      <c r="V340" s="411">
        <v>2</v>
      </c>
    </row>
    <row r="341" spans="1:22" x14ac:dyDescent="0.25">
      <c r="A341" s="416" t="s">
        <v>500</v>
      </c>
      <c r="B341" s="416" t="s">
        <v>87</v>
      </c>
      <c r="C341" s="416"/>
      <c r="D341" s="413" t="s">
        <v>649</v>
      </c>
      <c r="E341" s="411">
        <v>400</v>
      </c>
      <c r="F341" s="411">
        <v>400</v>
      </c>
      <c r="G341" s="411">
        <v>400</v>
      </c>
      <c r="H341" s="411">
        <v>400</v>
      </c>
      <c r="I341" s="411">
        <v>400</v>
      </c>
      <c r="J341" s="411">
        <v>400</v>
      </c>
      <c r="K341" s="411">
        <v>400</v>
      </c>
      <c r="L341" s="411">
        <v>400</v>
      </c>
      <c r="M341" s="411">
        <v>400</v>
      </c>
      <c r="N341" s="411">
        <v>400</v>
      </c>
      <c r="O341" s="411">
        <v>400</v>
      </c>
      <c r="P341" s="411">
        <v>400</v>
      </c>
      <c r="Q341" s="411">
        <v>400</v>
      </c>
      <c r="R341" s="411">
        <v>400</v>
      </c>
      <c r="S341" s="411">
        <v>400</v>
      </c>
      <c r="T341" s="411">
        <v>400</v>
      </c>
      <c r="U341" s="411">
        <v>400</v>
      </c>
      <c r="V341" s="411">
        <v>400</v>
      </c>
    </row>
    <row r="342" spans="1:22" x14ac:dyDescent="0.25">
      <c r="A342" s="416" t="s">
        <v>500</v>
      </c>
      <c r="B342" s="416" t="s">
        <v>87</v>
      </c>
      <c r="C342" s="416"/>
      <c r="D342" s="413" t="s">
        <v>650</v>
      </c>
      <c r="E342" s="411">
        <v>550</v>
      </c>
      <c r="F342" s="411">
        <v>550</v>
      </c>
      <c r="G342" s="411">
        <v>550</v>
      </c>
      <c r="H342" s="411">
        <v>550</v>
      </c>
      <c r="I342" s="411">
        <v>550</v>
      </c>
      <c r="J342" s="411">
        <v>550</v>
      </c>
      <c r="K342" s="411">
        <v>550</v>
      </c>
      <c r="L342" s="411">
        <v>550</v>
      </c>
      <c r="M342" s="411">
        <v>550</v>
      </c>
      <c r="N342" s="411">
        <v>550</v>
      </c>
      <c r="O342" s="411">
        <v>550</v>
      </c>
      <c r="P342" s="411">
        <v>550</v>
      </c>
      <c r="Q342" s="411">
        <v>550</v>
      </c>
      <c r="R342" s="411">
        <v>550</v>
      </c>
      <c r="S342" s="411">
        <v>550</v>
      </c>
      <c r="T342" s="411">
        <v>550</v>
      </c>
      <c r="U342" s="411">
        <v>550</v>
      </c>
      <c r="V342" s="411">
        <v>550</v>
      </c>
    </row>
    <row r="343" spans="1:22" x14ac:dyDescent="0.25">
      <c r="A343" s="416" t="s">
        <v>500</v>
      </c>
      <c r="B343" s="416" t="s">
        <v>87</v>
      </c>
      <c r="C343" s="416" t="s">
        <v>154</v>
      </c>
      <c r="D343" s="412" t="s">
        <v>651</v>
      </c>
      <c r="E343" s="411">
        <v>0.8</v>
      </c>
      <c r="F343" s="411">
        <v>0.8</v>
      </c>
      <c r="G343" s="411">
        <v>0.8</v>
      </c>
      <c r="H343" s="411">
        <v>0.8</v>
      </c>
      <c r="I343" s="411">
        <v>0.8</v>
      </c>
      <c r="J343" s="411">
        <v>0.8</v>
      </c>
      <c r="K343" s="411">
        <v>0.8</v>
      </c>
      <c r="L343" s="411">
        <v>0.8</v>
      </c>
      <c r="M343" s="411">
        <v>0.8</v>
      </c>
      <c r="N343" s="411">
        <v>0.8</v>
      </c>
      <c r="O343" s="411">
        <v>0.8</v>
      </c>
      <c r="P343" s="411">
        <v>0.8</v>
      </c>
      <c r="Q343" s="411">
        <v>0.8</v>
      </c>
      <c r="R343" s="411">
        <v>0.8</v>
      </c>
      <c r="S343" s="411">
        <v>0.8</v>
      </c>
      <c r="T343" s="411">
        <v>0.8</v>
      </c>
      <c r="U343" s="411">
        <v>0.8</v>
      </c>
      <c r="V343" s="411">
        <v>0.8</v>
      </c>
    </row>
    <row r="344" spans="1:22" x14ac:dyDescent="0.25">
      <c r="A344" s="416" t="s">
        <v>500</v>
      </c>
      <c r="B344" s="416" t="s">
        <v>87</v>
      </c>
      <c r="C344" s="416"/>
      <c r="D344" s="412" t="s">
        <v>652</v>
      </c>
    </row>
    <row r="345" spans="1:22" x14ac:dyDescent="0.25">
      <c r="A345" s="416" t="s">
        <v>500</v>
      </c>
      <c r="B345" s="416" t="s">
        <v>87</v>
      </c>
      <c r="C345" s="416"/>
      <c r="D345" s="413" t="s">
        <v>653</v>
      </c>
      <c r="E345" s="411">
        <v>25334.763577055499</v>
      </c>
      <c r="F345" s="411">
        <v>41140.513964988902</v>
      </c>
      <c r="G345" s="411">
        <v>28318.414948726899</v>
      </c>
      <c r="H345" s="411">
        <v>25475.084264502599</v>
      </c>
      <c r="I345" s="411">
        <v>21711.278732859999</v>
      </c>
      <c r="J345" s="411">
        <v>12803.477305091201</v>
      </c>
      <c r="K345" s="411">
        <v>13248.4998901954</v>
      </c>
      <c r="L345" s="411">
        <v>3399.3552088602401</v>
      </c>
      <c r="M345" s="411">
        <v>24293.027842465301</v>
      </c>
      <c r="N345" s="411">
        <v>43936.846015835799</v>
      </c>
      <c r="O345" s="411">
        <v>50393.077664057098</v>
      </c>
      <c r="P345" s="411">
        <v>36536.384880028803</v>
      </c>
      <c r="Q345" s="411">
        <v>21910.005295801799</v>
      </c>
      <c r="R345" s="411">
        <v>12873.7997396438</v>
      </c>
      <c r="S345" s="411">
        <v>15918.464883627599</v>
      </c>
      <c r="T345" s="411">
        <v>15386.666585888501</v>
      </c>
      <c r="U345" s="411">
        <v>8164.4209796613704</v>
      </c>
      <c r="V345" s="411">
        <v>9622.3718545388601</v>
      </c>
    </row>
    <row r="346" spans="1:22" x14ac:dyDescent="0.25">
      <c r="A346" s="416" t="s">
        <v>500</v>
      </c>
      <c r="B346" s="416" t="s">
        <v>87</v>
      </c>
      <c r="C346" s="416"/>
      <c r="D346" s="413" t="s">
        <v>654</v>
      </c>
      <c r="E346" s="411">
        <v>0</v>
      </c>
      <c r="F346" s="411">
        <v>0</v>
      </c>
      <c r="G346" s="411">
        <v>0</v>
      </c>
      <c r="H346" s="411">
        <v>0</v>
      </c>
      <c r="I346" s="411">
        <v>0</v>
      </c>
      <c r="J346" s="411">
        <v>0</v>
      </c>
      <c r="K346" s="411">
        <v>0</v>
      </c>
      <c r="L346" s="411">
        <v>0</v>
      </c>
      <c r="M346" s="411">
        <v>0</v>
      </c>
      <c r="N346" s="411">
        <v>0</v>
      </c>
      <c r="O346" s="411">
        <v>0</v>
      </c>
      <c r="P346" s="411">
        <v>0</v>
      </c>
      <c r="Q346" s="411">
        <v>0</v>
      </c>
      <c r="R346" s="411">
        <v>0</v>
      </c>
      <c r="S346" s="411">
        <v>0</v>
      </c>
      <c r="T346" s="411">
        <v>0</v>
      </c>
      <c r="U346" s="411">
        <v>0</v>
      </c>
      <c r="V346" s="411">
        <v>0</v>
      </c>
    </row>
    <row r="347" spans="1:22" x14ac:dyDescent="0.25">
      <c r="A347" s="416" t="s">
        <v>500</v>
      </c>
      <c r="B347" s="416" t="s">
        <v>87</v>
      </c>
      <c r="C347" s="416"/>
      <c r="D347" s="414" t="s">
        <v>655</v>
      </c>
      <c r="E347" s="415">
        <v>25.334763577055501</v>
      </c>
      <c r="F347" s="415">
        <v>41.140513964988898</v>
      </c>
      <c r="G347" s="415">
        <v>28.3184149487269</v>
      </c>
      <c r="H347" s="415">
        <v>25.475084264502598</v>
      </c>
      <c r="I347" s="415">
        <v>21.711278732859999</v>
      </c>
      <c r="J347" s="415">
        <v>12.803477305091199</v>
      </c>
      <c r="K347" s="415">
        <v>13.248499890195401</v>
      </c>
      <c r="L347" s="415">
        <v>3.3993552088602401</v>
      </c>
      <c r="M347" s="415">
        <v>24.2930278424653</v>
      </c>
      <c r="N347" s="415">
        <v>43.936846015835798</v>
      </c>
      <c r="O347" s="415">
        <v>50.393077664057103</v>
      </c>
      <c r="P347" s="415">
        <v>36.536384880028798</v>
      </c>
      <c r="Q347" s="415">
        <v>21.910005295801799</v>
      </c>
      <c r="R347" s="415">
        <v>12.8737997396438</v>
      </c>
      <c r="S347" s="415">
        <v>15.9184648836276</v>
      </c>
      <c r="T347" s="415">
        <v>15.3866665858885</v>
      </c>
      <c r="U347" s="415">
        <v>8.1644209796613705</v>
      </c>
      <c r="V347" s="415">
        <v>9.6223718545388603</v>
      </c>
    </row>
    <row r="348" spans="1:22" x14ac:dyDescent="0.25">
      <c r="A348" s="416" t="s">
        <v>500</v>
      </c>
      <c r="B348" s="416" t="s">
        <v>87</v>
      </c>
      <c r="C348" s="416"/>
      <c r="D348" s="414" t="s">
        <v>656</v>
      </c>
      <c r="E348" s="415">
        <v>0.70089999999999997</v>
      </c>
      <c r="F348" s="415">
        <v>0.70089999999999997</v>
      </c>
      <c r="G348" s="415">
        <v>0.70089999999999997</v>
      </c>
      <c r="H348" s="415">
        <v>0.70089999999999997</v>
      </c>
      <c r="I348" s="415">
        <v>0.70089999999999997</v>
      </c>
      <c r="J348" s="415">
        <v>0.70089999999999997</v>
      </c>
      <c r="K348" s="415">
        <v>0.70089999999999997</v>
      </c>
      <c r="L348" s="415">
        <v>0.70089999999999997</v>
      </c>
      <c r="M348" s="415">
        <v>0.70089999999999997</v>
      </c>
      <c r="N348" s="415">
        <v>0.70089999999999997</v>
      </c>
      <c r="O348" s="415">
        <v>0.70089999999999997</v>
      </c>
      <c r="P348" s="415">
        <v>0.70089999999999997</v>
      </c>
      <c r="Q348" s="415">
        <v>0.70089999999999997</v>
      </c>
      <c r="R348" s="415">
        <v>0.70089999999999997</v>
      </c>
      <c r="S348" s="415">
        <v>0.70089999999999997</v>
      </c>
      <c r="T348" s="415">
        <v>0.70089999999999997</v>
      </c>
      <c r="U348" s="415">
        <v>0.70089999999999997</v>
      </c>
      <c r="V348" s="415">
        <v>0.70089999999999997</v>
      </c>
    </row>
    <row r="349" spans="1:22" x14ac:dyDescent="0.25">
      <c r="A349" s="416" t="s">
        <v>500</v>
      </c>
      <c r="B349" s="416" t="s">
        <v>87</v>
      </c>
      <c r="C349" s="416"/>
      <c r="D349" s="414" t="s">
        <v>657</v>
      </c>
      <c r="E349" s="415">
        <v>0.70089999999999997</v>
      </c>
      <c r="F349" s="415">
        <v>0.70089999999999997</v>
      </c>
      <c r="G349" s="415">
        <v>0.70089999999999997</v>
      </c>
      <c r="H349" s="415">
        <v>0.70089999999999997</v>
      </c>
      <c r="I349" s="415">
        <v>0.70089999999999997</v>
      </c>
      <c r="J349" s="415">
        <v>0.70089999999999997</v>
      </c>
      <c r="K349" s="415">
        <v>0.70089999999999997</v>
      </c>
      <c r="L349" s="415">
        <v>0.70089999999999997</v>
      </c>
      <c r="M349" s="415">
        <v>0.70089999999999997</v>
      </c>
      <c r="N349" s="415">
        <v>0.70089999999999997</v>
      </c>
      <c r="O349" s="415">
        <v>0.70089999999999997</v>
      </c>
      <c r="P349" s="415">
        <v>0.70089999999999997</v>
      </c>
      <c r="Q349" s="415">
        <v>0.70089999999999997</v>
      </c>
      <c r="R349" s="415">
        <v>0.70089999999999997</v>
      </c>
      <c r="S349" s="415">
        <v>0.70089999999999997</v>
      </c>
      <c r="T349" s="415">
        <v>0.70089999999999997</v>
      </c>
      <c r="U349" s="415">
        <v>0.70089999999999997</v>
      </c>
      <c r="V349" s="415">
        <v>0.70089999999999997</v>
      </c>
    </row>
    <row r="350" spans="1:22" x14ac:dyDescent="0.25">
      <c r="A350" s="416" t="s">
        <v>500</v>
      </c>
      <c r="B350" s="416" t="s">
        <v>87</v>
      </c>
      <c r="C350" s="416"/>
      <c r="D350" s="414" t="s">
        <v>658</v>
      </c>
      <c r="E350" s="415">
        <v>0.70089999999999997</v>
      </c>
      <c r="F350" s="415">
        <v>0.70089999999999997</v>
      </c>
      <c r="G350" s="415">
        <v>0.70089999999999997</v>
      </c>
      <c r="H350" s="415">
        <v>0.70089999999999997</v>
      </c>
      <c r="I350" s="415">
        <v>0.70089999999999997</v>
      </c>
      <c r="J350" s="415">
        <v>0.70089999999999997</v>
      </c>
      <c r="K350" s="415">
        <v>0.70089999999999997</v>
      </c>
      <c r="L350" s="415">
        <v>0.70089999999999997</v>
      </c>
      <c r="M350" s="415">
        <v>0.70089999999999997</v>
      </c>
      <c r="N350" s="415">
        <v>0.70089999999999997</v>
      </c>
      <c r="O350" s="415">
        <v>0.70089999999999997</v>
      </c>
      <c r="P350" s="415">
        <v>0.70089999999999997</v>
      </c>
      <c r="Q350" s="415">
        <v>0.70089999999999997</v>
      </c>
      <c r="R350" s="415">
        <v>0.70089999999999997</v>
      </c>
      <c r="S350" s="415">
        <v>0.70089999999999997</v>
      </c>
      <c r="T350" s="415">
        <v>0.70089999999999997</v>
      </c>
      <c r="U350" s="415">
        <v>0.70089999999999997</v>
      </c>
      <c r="V350" s="415">
        <v>0.70089999999999997</v>
      </c>
    </row>
    <row r="351" spans="1:22" x14ac:dyDescent="0.25">
      <c r="A351" s="416" t="s">
        <v>500</v>
      </c>
      <c r="B351" s="416" t="s">
        <v>87</v>
      </c>
      <c r="C351" s="416" t="s">
        <v>436</v>
      </c>
      <c r="D351" s="412" t="s">
        <v>659</v>
      </c>
      <c r="E351" s="411">
        <v>17.757135791158198</v>
      </c>
      <c r="F351" s="411">
        <v>28.8353862380607</v>
      </c>
      <c r="G351" s="411">
        <v>19.848377037562599</v>
      </c>
      <c r="H351" s="411">
        <v>17.855486560989799</v>
      </c>
      <c r="I351" s="411">
        <v>15.2174352638615</v>
      </c>
      <c r="J351" s="411">
        <v>8.97395724313842</v>
      </c>
      <c r="K351" s="411">
        <v>9.28587357303795</v>
      </c>
      <c r="L351" s="411">
        <v>2.3826080658901398</v>
      </c>
      <c r="M351" s="411">
        <v>17.0269832147839</v>
      </c>
      <c r="N351" s="411">
        <v>30.795335372499299</v>
      </c>
      <c r="O351" s="411">
        <v>35.320508134737601</v>
      </c>
      <c r="P351" s="411">
        <v>25.6083521624121</v>
      </c>
      <c r="Q351" s="411">
        <v>15.3567227118274</v>
      </c>
      <c r="R351" s="411">
        <v>9.0232462375163394</v>
      </c>
      <c r="S351" s="411">
        <v>11.1572520369345</v>
      </c>
      <c r="T351" s="411">
        <v>10.7845146100492</v>
      </c>
      <c r="U351" s="411">
        <v>5.7224426646446496</v>
      </c>
      <c r="V351" s="411">
        <v>6.7443204328462798</v>
      </c>
    </row>
    <row r="352" spans="1:22" x14ac:dyDescent="0.25">
      <c r="A352" s="416" t="s">
        <v>500</v>
      </c>
      <c r="B352" s="416" t="s">
        <v>87</v>
      </c>
      <c r="C352" s="416"/>
      <c r="D352" s="412" t="s">
        <v>660</v>
      </c>
    </row>
    <row r="353" spans="1:22" x14ac:dyDescent="0.25">
      <c r="A353" s="416" t="s">
        <v>500</v>
      </c>
      <c r="B353" s="416" t="s">
        <v>87</v>
      </c>
      <c r="C353" s="416"/>
      <c r="D353" s="413" t="s">
        <v>678</v>
      </c>
      <c r="E353" s="411">
        <v>550</v>
      </c>
      <c r="F353" s="411">
        <v>550</v>
      </c>
      <c r="G353" s="411">
        <v>550</v>
      </c>
      <c r="H353" s="411">
        <v>550</v>
      </c>
      <c r="I353" s="411">
        <v>550</v>
      </c>
      <c r="J353" s="411">
        <v>550</v>
      </c>
      <c r="K353" s="411">
        <v>550</v>
      </c>
      <c r="L353" s="411">
        <v>550</v>
      </c>
      <c r="M353" s="411">
        <v>550</v>
      </c>
      <c r="N353" s="411">
        <v>550</v>
      </c>
      <c r="O353" s="411">
        <v>550</v>
      </c>
      <c r="P353" s="411">
        <v>550</v>
      </c>
      <c r="Q353" s="411">
        <v>550</v>
      </c>
      <c r="R353" s="411">
        <v>550</v>
      </c>
      <c r="S353" s="411">
        <v>550</v>
      </c>
      <c r="T353" s="411">
        <v>550</v>
      </c>
      <c r="U353" s="411">
        <v>550</v>
      </c>
      <c r="V353" s="411">
        <v>550</v>
      </c>
    </row>
    <row r="354" spans="1:22" x14ac:dyDescent="0.25">
      <c r="A354" s="416" t="s">
        <v>500</v>
      </c>
      <c r="B354" s="416" t="s">
        <v>87</v>
      </c>
      <c r="C354" s="416" t="s">
        <v>535</v>
      </c>
      <c r="D354" s="417" t="s">
        <v>679</v>
      </c>
      <c r="E354" s="415">
        <v>1.1000000000000001</v>
      </c>
      <c r="F354" s="415">
        <v>1.1000000000000001</v>
      </c>
      <c r="G354" s="415">
        <v>1.1000000000000001</v>
      </c>
      <c r="H354" s="415">
        <v>1.1000000000000001</v>
      </c>
      <c r="I354" s="415">
        <v>1.1000000000000001</v>
      </c>
      <c r="J354" s="415">
        <v>1.1000000000000001</v>
      </c>
      <c r="K354" s="415">
        <v>1.1000000000000001</v>
      </c>
      <c r="L354" s="415">
        <v>1.1000000000000001</v>
      </c>
      <c r="M354" s="415">
        <v>1.1000000000000001</v>
      </c>
      <c r="N354" s="415">
        <v>1.1000000000000001</v>
      </c>
      <c r="O354" s="415">
        <v>1.1000000000000001</v>
      </c>
      <c r="P354" s="415">
        <v>1.1000000000000001</v>
      </c>
      <c r="Q354" s="415">
        <v>1.1000000000000001</v>
      </c>
      <c r="R354" s="415">
        <v>1.1000000000000001</v>
      </c>
      <c r="S354" s="415">
        <v>1.1000000000000001</v>
      </c>
      <c r="T354" s="415">
        <v>1.1000000000000001</v>
      </c>
      <c r="U354" s="415">
        <v>1.1000000000000001</v>
      </c>
      <c r="V354" s="415">
        <v>1.1000000000000001</v>
      </c>
    </row>
    <row r="355" spans="1:22" x14ac:dyDescent="0.25">
      <c r="A355" s="416" t="s">
        <v>500</v>
      </c>
      <c r="B355" s="416" t="s">
        <v>87</v>
      </c>
      <c r="C355" s="416"/>
      <c r="D355" s="412" t="s">
        <v>661</v>
      </c>
    </row>
    <row r="356" spans="1:22" x14ac:dyDescent="0.25">
      <c r="A356" s="416" t="s">
        <v>500</v>
      </c>
      <c r="B356" s="416" t="s">
        <v>87</v>
      </c>
      <c r="C356" s="416"/>
      <c r="D356" s="412" t="s">
        <v>662</v>
      </c>
      <c r="E356" s="411">
        <v>19.657135791158201</v>
      </c>
      <c r="F356" s="411">
        <v>30.735386238060698</v>
      </c>
      <c r="G356" s="411">
        <v>21.748377037562602</v>
      </c>
      <c r="H356" s="411">
        <v>19.755486560989802</v>
      </c>
      <c r="I356" s="411">
        <v>17.117435263861498</v>
      </c>
      <c r="J356" s="411">
        <v>10.873957243138401</v>
      </c>
      <c r="K356" s="411">
        <v>11.185873573037901</v>
      </c>
      <c r="L356" s="411">
        <v>4.2826080658901402</v>
      </c>
      <c r="M356" s="411">
        <v>18.926983214783899</v>
      </c>
      <c r="N356" s="411">
        <v>32.695335372499301</v>
      </c>
      <c r="O356" s="411">
        <v>37.220508134737599</v>
      </c>
      <c r="P356" s="411">
        <v>27.508352162412098</v>
      </c>
      <c r="Q356" s="411">
        <v>17.2567227118274</v>
      </c>
      <c r="R356" s="411">
        <v>10.923246237516301</v>
      </c>
      <c r="S356" s="411">
        <v>13.0572520369345</v>
      </c>
      <c r="T356" s="411">
        <v>12.684514610049201</v>
      </c>
      <c r="U356" s="411">
        <v>7.6224426646446499</v>
      </c>
      <c r="V356" s="411">
        <v>8.6443204328462802</v>
      </c>
    </row>
    <row r="357" spans="1:22" x14ac:dyDescent="0.25">
      <c r="A357" s="416" t="s">
        <v>500</v>
      </c>
      <c r="B357" s="416" t="s">
        <v>87</v>
      </c>
      <c r="C357" s="416"/>
      <c r="D357" s="412" t="s">
        <v>663</v>
      </c>
    </row>
    <row r="358" spans="1:22" x14ac:dyDescent="0.25">
      <c r="A358" s="416" t="s">
        <v>500</v>
      </c>
      <c r="B358" s="416" t="s">
        <v>87</v>
      </c>
      <c r="C358" s="416"/>
      <c r="D358" s="414" t="s">
        <v>664</v>
      </c>
      <c r="E358" s="415">
        <v>0</v>
      </c>
      <c r="F358" s="415">
        <v>0</v>
      </c>
      <c r="G358" s="415">
        <v>0</v>
      </c>
      <c r="H358" s="415">
        <v>0</v>
      </c>
      <c r="I358" s="415">
        <v>0</v>
      </c>
      <c r="J358" s="415">
        <v>0</v>
      </c>
      <c r="K358" s="415">
        <v>0</v>
      </c>
      <c r="L358" s="415">
        <v>0</v>
      </c>
      <c r="M358" s="415">
        <v>0</v>
      </c>
      <c r="N358" s="415">
        <v>0</v>
      </c>
      <c r="O358" s="415">
        <v>0</v>
      </c>
      <c r="P358" s="415">
        <v>0</v>
      </c>
      <c r="Q358" s="415">
        <v>0</v>
      </c>
      <c r="R358" s="415">
        <v>0</v>
      </c>
      <c r="S358" s="415">
        <v>0</v>
      </c>
      <c r="T358" s="415">
        <v>0</v>
      </c>
      <c r="U358" s="415">
        <v>0</v>
      </c>
      <c r="V358" s="415">
        <v>0</v>
      </c>
    </row>
    <row r="359" spans="1:22" x14ac:dyDescent="0.25">
      <c r="A359" s="416" t="s">
        <v>500</v>
      </c>
      <c r="B359" s="416" t="s">
        <v>87</v>
      </c>
      <c r="C359" s="416" t="s">
        <v>178</v>
      </c>
      <c r="D359" s="413" t="s">
        <v>665</v>
      </c>
      <c r="E359" s="411">
        <v>0</v>
      </c>
      <c r="F359" s="411">
        <v>0</v>
      </c>
      <c r="G359" s="411">
        <v>0</v>
      </c>
      <c r="H359" s="411">
        <v>0</v>
      </c>
      <c r="I359" s="411">
        <v>0</v>
      </c>
      <c r="J359" s="411">
        <v>0</v>
      </c>
      <c r="K359" s="411">
        <v>0</v>
      </c>
      <c r="L359" s="411">
        <v>0</v>
      </c>
      <c r="M359" s="411">
        <v>0</v>
      </c>
      <c r="N359" s="411">
        <v>0</v>
      </c>
      <c r="O359" s="411">
        <v>0</v>
      </c>
      <c r="P359" s="411">
        <v>0</v>
      </c>
      <c r="Q359" s="411">
        <v>0</v>
      </c>
      <c r="R359" s="411">
        <v>0</v>
      </c>
      <c r="S359" s="411">
        <v>0</v>
      </c>
      <c r="T359" s="411">
        <v>0</v>
      </c>
      <c r="U359" s="411">
        <v>0</v>
      </c>
      <c r="V359" s="411">
        <v>0</v>
      </c>
    </row>
    <row r="360" spans="1:22" x14ac:dyDescent="0.25">
      <c r="A360" s="416" t="s">
        <v>500</v>
      </c>
      <c r="B360" s="416" t="s">
        <v>87</v>
      </c>
      <c r="C360" s="416"/>
      <c r="D360" s="412" t="s">
        <v>666</v>
      </c>
    </row>
    <row r="361" spans="1:22" x14ac:dyDescent="0.25">
      <c r="A361" s="416" t="s">
        <v>500</v>
      </c>
      <c r="B361" s="416" t="s">
        <v>87</v>
      </c>
      <c r="C361" s="416"/>
      <c r="D361" s="414" t="s">
        <v>667</v>
      </c>
      <c r="E361" s="415">
        <v>0</v>
      </c>
      <c r="F361" s="415">
        <v>0</v>
      </c>
      <c r="G361" s="415">
        <v>0</v>
      </c>
      <c r="H361" s="415">
        <v>0</v>
      </c>
      <c r="I361" s="415">
        <v>0</v>
      </c>
      <c r="J361" s="415">
        <v>0</v>
      </c>
      <c r="K361" s="415">
        <v>0</v>
      </c>
      <c r="L361" s="415">
        <v>0</v>
      </c>
      <c r="M361" s="415">
        <v>0</v>
      </c>
      <c r="N361" s="415">
        <v>0</v>
      </c>
      <c r="O361" s="415">
        <v>0</v>
      </c>
      <c r="P361" s="415">
        <v>0</v>
      </c>
      <c r="Q361" s="415">
        <v>0</v>
      </c>
      <c r="R361" s="415">
        <v>0</v>
      </c>
      <c r="S361" s="415">
        <v>0</v>
      </c>
      <c r="T361" s="415">
        <v>0</v>
      </c>
      <c r="U361" s="415">
        <v>0</v>
      </c>
      <c r="V361" s="415">
        <v>0</v>
      </c>
    </row>
    <row r="362" spans="1:22" x14ac:dyDescent="0.25">
      <c r="A362" s="416" t="s">
        <v>500</v>
      </c>
      <c r="B362" s="416" t="s">
        <v>87</v>
      </c>
      <c r="C362" s="416" t="s">
        <v>180</v>
      </c>
      <c r="D362" s="413" t="s">
        <v>668</v>
      </c>
      <c r="E362" s="411">
        <v>0</v>
      </c>
      <c r="F362" s="411">
        <v>0</v>
      </c>
      <c r="G362" s="411">
        <v>0</v>
      </c>
      <c r="H362" s="411">
        <v>0</v>
      </c>
      <c r="I362" s="411">
        <v>0</v>
      </c>
      <c r="J362" s="411">
        <v>0</v>
      </c>
      <c r="K362" s="411">
        <v>0</v>
      </c>
      <c r="L362" s="411">
        <v>0</v>
      </c>
      <c r="M362" s="411">
        <v>0</v>
      </c>
      <c r="N362" s="411">
        <v>0</v>
      </c>
      <c r="O362" s="411">
        <v>0</v>
      </c>
      <c r="P362" s="411">
        <v>0</v>
      </c>
      <c r="Q362" s="411">
        <v>0</v>
      </c>
      <c r="R362" s="411">
        <v>0</v>
      </c>
      <c r="S362" s="411">
        <v>0</v>
      </c>
      <c r="T362" s="411">
        <v>0</v>
      </c>
      <c r="U362" s="411">
        <v>0</v>
      </c>
      <c r="V362" s="411">
        <v>0</v>
      </c>
    </row>
    <row r="363" spans="1:22" x14ac:dyDescent="0.25">
      <c r="A363" s="416" t="s">
        <v>500</v>
      </c>
      <c r="B363" s="416" t="s">
        <v>87</v>
      </c>
      <c r="C363" s="416"/>
      <c r="D363" s="412" t="s">
        <v>669</v>
      </c>
    </row>
    <row r="364" spans="1:22" x14ac:dyDescent="0.25">
      <c r="A364" s="416" t="s">
        <v>500</v>
      </c>
      <c r="B364" s="416" t="s">
        <v>87</v>
      </c>
      <c r="C364" s="416"/>
      <c r="D364" s="414" t="s">
        <v>670</v>
      </c>
      <c r="E364" s="415">
        <v>7.2705548342424002E-3</v>
      </c>
      <c r="F364" s="415">
        <v>7.2705548342424002E-3</v>
      </c>
      <c r="G364" s="415">
        <v>7.2705548342424002E-3</v>
      </c>
      <c r="H364" s="415">
        <v>7.2705548342424002E-3</v>
      </c>
      <c r="I364" s="415">
        <v>7.2705548342424002E-3</v>
      </c>
      <c r="J364" s="415">
        <v>7.2705548342424002E-3</v>
      </c>
      <c r="K364" s="415">
        <v>7.2705548342424002E-3</v>
      </c>
      <c r="L364" s="415">
        <v>7.2705548342424002E-3</v>
      </c>
      <c r="M364" s="415">
        <v>7.2705548342424002E-3</v>
      </c>
      <c r="N364" s="415">
        <v>7.2705548342424002E-3</v>
      </c>
      <c r="O364" s="415">
        <v>7.2705548342424002E-3</v>
      </c>
      <c r="P364" s="415">
        <v>7.2705548342424002E-3</v>
      </c>
      <c r="Q364" s="415">
        <v>7.2705548342424002E-3</v>
      </c>
      <c r="R364" s="415">
        <v>7.2705548342424002E-3</v>
      </c>
      <c r="S364" s="415">
        <v>7.2705548342424002E-3</v>
      </c>
      <c r="T364" s="415">
        <v>7.2705548342424002E-3</v>
      </c>
      <c r="U364" s="415">
        <v>7.2705548342424002E-3</v>
      </c>
      <c r="V364" s="415">
        <v>7.2705548342424002E-3</v>
      </c>
    </row>
    <row r="365" spans="1:22" x14ac:dyDescent="0.25">
      <c r="A365" s="416" t="s">
        <v>500</v>
      </c>
      <c r="B365" s="416" t="s">
        <v>87</v>
      </c>
      <c r="C365" s="416" t="s">
        <v>424</v>
      </c>
      <c r="D365" s="413" t="s">
        <v>671</v>
      </c>
      <c r="E365" s="411">
        <v>3.8996594748695501</v>
      </c>
      <c r="F365" s="411">
        <v>4.4965033439952302</v>
      </c>
      <c r="G365" s="411">
        <v>3.08254595354579</v>
      </c>
      <c r="H365" s="411">
        <v>3.5348555857271799</v>
      </c>
      <c r="I365" s="411">
        <v>4.5098543098706001</v>
      </c>
      <c r="J365" s="411">
        <v>3.3473946503304699</v>
      </c>
      <c r="K365" s="411">
        <v>3.4552044194673202</v>
      </c>
      <c r="L365" s="411">
        <v>1.6802210880356301</v>
      </c>
      <c r="M365" s="411">
        <v>5.4407500531579496</v>
      </c>
      <c r="N365" s="411">
        <v>6.8643256817114704</v>
      </c>
      <c r="O365" s="411">
        <v>7.5752485998001902</v>
      </c>
      <c r="P365" s="411">
        <v>6.4762434864988601</v>
      </c>
      <c r="Q365" s="411">
        <v>5.12886470072326</v>
      </c>
      <c r="R365" s="411">
        <v>3.7835631705030299</v>
      </c>
      <c r="S365" s="411">
        <v>5.0027106352158297</v>
      </c>
      <c r="T365" s="411">
        <v>4.4942647893647703</v>
      </c>
      <c r="U365" s="411">
        <v>2.9477194445384902</v>
      </c>
      <c r="V365" s="411">
        <v>3.4377543656260299</v>
      </c>
    </row>
    <row r="366" spans="1:22" x14ac:dyDescent="0.25">
      <c r="A366" s="416" t="s">
        <v>500</v>
      </c>
      <c r="B366" s="416" t="s">
        <v>87</v>
      </c>
      <c r="C366" s="416"/>
      <c r="D366" s="412" t="s">
        <v>672</v>
      </c>
      <c r="E366" s="411">
        <v>23.556795266027699</v>
      </c>
      <c r="F366" s="411">
        <v>35.231889582055899</v>
      </c>
      <c r="G366" s="411">
        <v>24.830922991108402</v>
      </c>
      <c r="H366" s="411">
        <v>23.290342146716998</v>
      </c>
      <c r="I366" s="411">
        <v>21.627289573732099</v>
      </c>
      <c r="J366" s="411">
        <v>14.2213518934688</v>
      </c>
      <c r="K366" s="411">
        <v>14.641077992505201</v>
      </c>
      <c r="L366" s="411">
        <v>5.9628291539257701</v>
      </c>
      <c r="M366" s="411">
        <v>24.367733267941802</v>
      </c>
      <c r="N366" s="411">
        <v>39.5596610542107</v>
      </c>
      <c r="O366" s="411">
        <v>44.795756734537797</v>
      </c>
      <c r="P366" s="411">
        <v>33.984595648910997</v>
      </c>
      <c r="Q366" s="411">
        <v>22.385587412550699</v>
      </c>
      <c r="R366" s="411">
        <v>14.7068094080193</v>
      </c>
      <c r="S366" s="411">
        <v>18.059962672150402</v>
      </c>
      <c r="T366" s="411">
        <v>17.178779399414001</v>
      </c>
      <c r="U366" s="411">
        <v>10.5701621091831</v>
      </c>
      <c r="V366" s="411">
        <v>12.0820747984723</v>
      </c>
    </row>
    <row r="367" spans="1:22" s="84" customFormat="1" x14ac:dyDescent="0.25">
      <c r="A367" s="613" t="s">
        <v>483</v>
      </c>
      <c r="B367" s="613" t="s">
        <v>31</v>
      </c>
      <c r="C367" s="613"/>
      <c r="D367" s="643" t="s">
        <v>686</v>
      </c>
    </row>
    <row r="368" spans="1:22" x14ac:dyDescent="0.25">
      <c r="A368" s="416" t="s">
        <v>483</v>
      </c>
      <c r="B368" s="416" t="s">
        <v>31</v>
      </c>
      <c r="C368" s="416"/>
      <c r="D368" s="412" t="s">
        <v>645</v>
      </c>
    </row>
    <row r="369" spans="1:22" x14ac:dyDescent="0.25">
      <c r="A369" s="416" t="s">
        <v>483</v>
      </c>
      <c r="B369" s="416" t="s">
        <v>31</v>
      </c>
      <c r="C369" s="416"/>
      <c r="D369" s="413" t="s">
        <v>646</v>
      </c>
      <c r="E369" s="411">
        <v>0</v>
      </c>
      <c r="F369" s="411">
        <v>0</v>
      </c>
      <c r="G369" s="411">
        <v>0</v>
      </c>
      <c r="H369" s="411">
        <v>0</v>
      </c>
      <c r="I369" s="411">
        <v>0</v>
      </c>
      <c r="J369" s="411">
        <v>0</v>
      </c>
      <c r="K369" s="411">
        <v>0</v>
      </c>
      <c r="L369" s="411">
        <v>0</v>
      </c>
      <c r="M369" s="411">
        <v>0</v>
      </c>
      <c r="N369" s="411">
        <v>0</v>
      </c>
      <c r="O369" s="411">
        <v>0</v>
      </c>
      <c r="P369" s="411">
        <v>0</v>
      </c>
      <c r="Q369" s="411">
        <v>0</v>
      </c>
      <c r="R369" s="411">
        <v>0</v>
      </c>
      <c r="S369" s="411">
        <v>0</v>
      </c>
      <c r="T369" s="411">
        <v>0</v>
      </c>
      <c r="U369" s="411">
        <v>0</v>
      </c>
      <c r="V369" s="411">
        <v>0</v>
      </c>
    </row>
    <row r="370" spans="1:22" x14ac:dyDescent="0.25">
      <c r="A370" s="416" t="s">
        <v>483</v>
      </c>
      <c r="B370" s="416" t="s">
        <v>31</v>
      </c>
      <c r="C370" s="416"/>
      <c r="D370" s="413" t="s">
        <v>647</v>
      </c>
      <c r="E370" s="411">
        <v>5</v>
      </c>
      <c r="F370" s="411">
        <v>5</v>
      </c>
      <c r="G370" s="411">
        <v>5</v>
      </c>
      <c r="H370" s="411">
        <v>5</v>
      </c>
      <c r="I370" s="411">
        <v>5</v>
      </c>
      <c r="J370" s="411">
        <v>5</v>
      </c>
      <c r="K370" s="411">
        <v>5</v>
      </c>
      <c r="L370" s="411">
        <v>5</v>
      </c>
      <c r="M370" s="411">
        <v>5</v>
      </c>
      <c r="N370" s="411">
        <v>5</v>
      </c>
      <c r="O370" s="411">
        <v>5</v>
      </c>
      <c r="P370" s="411">
        <v>5</v>
      </c>
      <c r="Q370" s="411">
        <v>5</v>
      </c>
      <c r="R370" s="411">
        <v>5</v>
      </c>
      <c r="S370" s="411">
        <v>5</v>
      </c>
      <c r="T370" s="411">
        <v>5</v>
      </c>
      <c r="U370" s="411">
        <v>5</v>
      </c>
      <c r="V370" s="411">
        <v>5</v>
      </c>
    </row>
    <row r="371" spans="1:22" x14ac:dyDescent="0.25">
      <c r="A371" s="416" t="s">
        <v>483</v>
      </c>
      <c r="B371" s="416" t="s">
        <v>31</v>
      </c>
      <c r="C371" s="416"/>
      <c r="D371" s="413" t="s">
        <v>648</v>
      </c>
      <c r="E371" s="411">
        <v>5</v>
      </c>
      <c r="F371" s="411">
        <v>5</v>
      </c>
      <c r="G371" s="411">
        <v>5</v>
      </c>
      <c r="H371" s="411">
        <v>5</v>
      </c>
      <c r="I371" s="411">
        <v>5</v>
      </c>
      <c r="J371" s="411">
        <v>5</v>
      </c>
      <c r="K371" s="411">
        <v>5</v>
      </c>
      <c r="L371" s="411">
        <v>5</v>
      </c>
      <c r="M371" s="411">
        <v>5</v>
      </c>
      <c r="N371" s="411">
        <v>5</v>
      </c>
      <c r="O371" s="411">
        <v>5</v>
      </c>
      <c r="P371" s="411">
        <v>5</v>
      </c>
      <c r="Q371" s="411">
        <v>5</v>
      </c>
      <c r="R371" s="411">
        <v>5</v>
      </c>
      <c r="S371" s="411">
        <v>5</v>
      </c>
      <c r="T371" s="411">
        <v>5</v>
      </c>
      <c r="U371" s="411">
        <v>5</v>
      </c>
      <c r="V371" s="411">
        <v>5</v>
      </c>
    </row>
    <row r="372" spans="1:22" x14ac:dyDescent="0.25">
      <c r="A372" s="416" t="s">
        <v>483</v>
      </c>
      <c r="B372" s="416" t="s">
        <v>31</v>
      </c>
      <c r="C372" s="416"/>
      <c r="D372" s="413" t="s">
        <v>649</v>
      </c>
      <c r="E372" s="411">
        <v>40</v>
      </c>
      <c r="F372" s="411">
        <v>40</v>
      </c>
      <c r="G372" s="411">
        <v>40</v>
      </c>
      <c r="H372" s="411">
        <v>40</v>
      </c>
      <c r="I372" s="411">
        <v>40</v>
      </c>
      <c r="J372" s="411">
        <v>40</v>
      </c>
      <c r="K372" s="411">
        <v>40</v>
      </c>
      <c r="L372" s="411">
        <v>40</v>
      </c>
      <c r="M372" s="411">
        <v>40</v>
      </c>
      <c r="N372" s="411">
        <v>40</v>
      </c>
      <c r="O372" s="411">
        <v>40</v>
      </c>
      <c r="P372" s="411">
        <v>40</v>
      </c>
      <c r="Q372" s="411">
        <v>40</v>
      </c>
      <c r="R372" s="411">
        <v>40</v>
      </c>
      <c r="S372" s="411">
        <v>40</v>
      </c>
      <c r="T372" s="411">
        <v>40</v>
      </c>
      <c r="U372" s="411">
        <v>40</v>
      </c>
      <c r="V372" s="411">
        <v>40</v>
      </c>
    </row>
    <row r="373" spans="1:22" x14ac:dyDescent="0.25">
      <c r="A373" s="416" t="s">
        <v>483</v>
      </c>
      <c r="B373" s="416" t="s">
        <v>31</v>
      </c>
      <c r="C373" s="416"/>
      <c r="D373" s="413" t="s">
        <v>650</v>
      </c>
      <c r="E373" s="411">
        <v>180</v>
      </c>
      <c r="F373" s="411">
        <v>180</v>
      </c>
      <c r="G373" s="411">
        <v>180</v>
      </c>
      <c r="H373" s="411">
        <v>180</v>
      </c>
      <c r="I373" s="411">
        <v>180</v>
      </c>
      <c r="J373" s="411">
        <v>180</v>
      </c>
      <c r="K373" s="411">
        <v>180</v>
      </c>
      <c r="L373" s="411">
        <v>180</v>
      </c>
      <c r="M373" s="411">
        <v>180</v>
      </c>
      <c r="N373" s="411">
        <v>180</v>
      </c>
      <c r="O373" s="411">
        <v>180</v>
      </c>
      <c r="P373" s="411">
        <v>180</v>
      </c>
      <c r="Q373" s="411">
        <v>180</v>
      </c>
      <c r="R373" s="411">
        <v>180</v>
      </c>
      <c r="S373" s="411">
        <v>180</v>
      </c>
      <c r="T373" s="411">
        <v>180</v>
      </c>
      <c r="U373" s="411">
        <v>180</v>
      </c>
      <c r="V373" s="411">
        <v>180</v>
      </c>
    </row>
    <row r="374" spans="1:22" x14ac:dyDescent="0.25">
      <c r="A374" s="416" t="s">
        <v>483</v>
      </c>
      <c r="B374" s="416" t="s">
        <v>31</v>
      </c>
      <c r="C374" s="416" t="s">
        <v>154</v>
      </c>
      <c r="D374" s="412" t="s">
        <v>651</v>
      </c>
      <c r="E374" s="411">
        <v>0.9</v>
      </c>
      <c r="F374" s="411">
        <v>0.9</v>
      </c>
      <c r="G374" s="411">
        <v>0.9</v>
      </c>
      <c r="H374" s="411">
        <v>0.9</v>
      </c>
      <c r="I374" s="411">
        <v>0.9</v>
      </c>
      <c r="J374" s="411">
        <v>0.9</v>
      </c>
      <c r="K374" s="411">
        <v>0.9</v>
      </c>
      <c r="L374" s="411">
        <v>0.9</v>
      </c>
      <c r="M374" s="411">
        <v>0.9</v>
      </c>
      <c r="N374" s="411">
        <v>0.9</v>
      </c>
      <c r="O374" s="411">
        <v>0.9</v>
      </c>
      <c r="P374" s="411">
        <v>0.9</v>
      </c>
      <c r="Q374" s="411">
        <v>0.9</v>
      </c>
      <c r="R374" s="411">
        <v>0.9</v>
      </c>
      <c r="S374" s="411">
        <v>0.9</v>
      </c>
      <c r="T374" s="411">
        <v>0.9</v>
      </c>
      <c r="U374" s="411">
        <v>0.9</v>
      </c>
      <c r="V374" s="411">
        <v>0.9</v>
      </c>
    </row>
    <row r="375" spans="1:22" x14ac:dyDescent="0.25">
      <c r="A375" s="416" t="s">
        <v>483</v>
      </c>
      <c r="B375" s="416" t="s">
        <v>31</v>
      </c>
      <c r="C375" s="416"/>
      <c r="D375" s="412" t="s">
        <v>652</v>
      </c>
    </row>
    <row r="376" spans="1:22" x14ac:dyDescent="0.25">
      <c r="A376" s="416" t="s">
        <v>483</v>
      </c>
      <c r="B376" s="416" t="s">
        <v>31</v>
      </c>
      <c r="C376" s="416"/>
      <c r="D376" s="413" t="s">
        <v>653</v>
      </c>
      <c r="E376" s="411">
        <v>500</v>
      </c>
      <c r="F376" s="411">
        <v>500</v>
      </c>
      <c r="G376" s="411">
        <v>500</v>
      </c>
      <c r="H376" s="411">
        <v>500</v>
      </c>
      <c r="I376" s="411">
        <v>500</v>
      </c>
      <c r="J376" s="411">
        <v>500</v>
      </c>
      <c r="K376" s="411">
        <v>500</v>
      </c>
      <c r="L376" s="411">
        <v>500</v>
      </c>
      <c r="M376" s="411">
        <v>500</v>
      </c>
      <c r="N376" s="411">
        <v>500</v>
      </c>
      <c r="O376" s="411">
        <v>500</v>
      </c>
      <c r="P376" s="411">
        <v>500</v>
      </c>
      <c r="Q376" s="411">
        <v>500</v>
      </c>
      <c r="R376" s="411">
        <v>500</v>
      </c>
      <c r="S376" s="411">
        <v>500</v>
      </c>
      <c r="T376" s="411">
        <v>500</v>
      </c>
      <c r="U376" s="411">
        <v>500</v>
      </c>
      <c r="V376" s="411">
        <v>500</v>
      </c>
    </row>
    <row r="377" spans="1:22" x14ac:dyDescent="0.25">
      <c r="A377" s="416" t="s">
        <v>483</v>
      </c>
      <c r="B377" s="416" t="s">
        <v>31</v>
      </c>
      <c r="C377" s="416"/>
      <c r="D377" s="413" t="s">
        <v>654</v>
      </c>
      <c r="E377" s="411">
        <v>42551.282081999998</v>
      </c>
      <c r="F377" s="411">
        <v>63188.231715000002</v>
      </c>
      <c r="G377" s="411">
        <v>49828.004328000003</v>
      </c>
      <c r="H377" s="411">
        <v>39030.612775000001</v>
      </c>
      <c r="I377" s="411">
        <v>17426.550902999999</v>
      </c>
      <c r="J377" s="411">
        <v>11006.3838435</v>
      </c>
      <c r="K377" s="411">
        <v>42562.129309000004</v>
      </c>
      <c r="L377" s="411">
        <v>33315.644157000002</v>
      </c>
      <c r="M377" s="411">
        <v>42140.851381</v>
      </c>
      <c r="N377" s="411">
        <v>67140.584843000004</v>
      </c>
      <c r="O377" s="411">
        <v>72083.230221000005</v>
      </c>
      <c r="P377" s="411">
        <v>51892.893148000003</v>
      </c>
      <c r="Q377" s="411">
        <v>17620.127293000001</v>
      </c>
      <c r="R377" s="411">
        <v>11088.4432113</v>
      </c>
      <c r="S377" s="411">
        <v>18002.250968</v>
      </c>
      <c r="T377" s="411">
        <v>32097.663379000001</v>
      </c>
      <c r="U377" s="411">
        <v>32106.717369999998</v>
      </c>
      <c r="V377" s="411">
        <v>33876.768490000002</v>
      </c>
    </row>
    <row r="378" spans="1:22" x14ac:dyDescent="0.25">
      <c r="A378" s="416" t="s">
        <v>483</v>
      </c>
      <c r="B378" s="416" t="s">
        <v>31</v>
      </c>
      <c r="C378" s="416"/>
      <c r="D378" s="414" t="s">
        <v>655</v>
      </c>
      <c r="E378" s="415">
        <v>43.051282082</v>
      </c>
      <c r="F378" s="415">
        <v>63.688231715000001</v>
      </c>
      <c r="G378" s="415">
        <v>50.328004327999999</v>
      </c>
      <c r="H378" s="415">
        <v>39.530612775000002</v>
      </c>
      <c r="I378" s="415">
        <v>17.926550902999999</v>
      </c>
      <c r="J378" s="415">
        <v>11.5063838435</v>
      </c>
      <c r="K378" s="415">
        <v>43.062129308999999</v>
      </c>
      <c r="L378" s="415">
        <v>33.815644157000001</v>
      </c>
      <c r="M378" s="415">
        <v>42.640851380999997</v>
      </c>
      <c r="N378" s="415">
        <v>67.640584842999999</v>
      </c>
      <c r="O378" s="415">
        <v>72.583230220999994</v>
      </c>
      <c r="P378" s="415">
        <v>52.392893147999999</v>
      </c>
      <c r="Q378" s="415">
        <v>18.120127292999999</v>
      </c>
      <c r="R378" s="415">
        <v>11.5884432113</v>
      </c>
      <c r="S378" s="415">
        <v>18.502250967999998</v>
      </c>
      <c r="T378" s="415">
        <v>32.597663378999997</v>
      </c>
      <c r="U378" s="415">
        <v>32.606717369999998</v>
      </c>
      <c r="V378" s="415">
        <v>34.376768490000003</v>
      </c>
    </row>
    <row r="379" spans="1:22" x14ac:dyDescent="0.25">
      <c r="A379" s="416" t="s">
        <v>483</v>
      </c>
      <c r="B379" s="416" t="s">
        <v>31</v>
      </c>
      <c r="C379" s="416"/>
      <c r="D379" s="414" t="s">
        <v>656</v>
      </c>
      <c r="E379" s="415">
        <v>2.2778999999999998</v>
      </c>
      <c r="F379" s="415">
        <v>2.2778999999999998</v>
      </c>
      <c r="G379" s="415">
        <v>2.2778999999999998</v>
      </c>
      <c r="H379" s="415">
        <v>2.2778999999999998</v>
      </c>
      <c r="I379" s="415">
        <v>2.2778999999999998</v>
      </c>
      <c r="J379" s="415">
        <v>2.2778999999999998</v>
      </c>
      <c r="K379" s="415">
        <v>2.2778999999999998</v>
      </c>
      <c r="L379" s="415">
        <v>2.2778999999999998</v>
      </c>
      <c r="M379" s="415">
        <v>2.2778999999999998</v>
      </c>
      <c r="N379" s="415">
        <v>2.2778999999999998</v>
      </c>
      <c r="O379" s="415">
        <v>2.2778999999999998</v>
      </c>
      <c r="P379" s="415">
        <v>2.2778999999999998</v>
      </c>
      <c r="Q379" s="415">
        <v>2.2778999999999998</v>
      </c>
      <c r="R379" s="415">
        <v>2.2778999999999998</v>
      </c>
      <c r="S379" s="415">
        <v>2.2778999999999998</v>
      </c>
      <c r="T379" s="415">
        <v>2.2778999999999998</v>
      </c>
      <c r="U379" s="415">
        <v>2.2778999999999998</v>
      </c>
      <c r="V379" s="415">
        <v>2.2778999999999998</v>
      </c>
    </row>
    <row r="380" spans="1:22" x14ac:dyDescent="0.25">
      <c r="A380" s="416" t="s">
        <v>483</v>
      </c>
      <c r="B380" s="416" t="s">
        <v>31</v>
      </c>
      <c r="C380" s="416"/>
      <c r="D380" s="414" t="s">
        <v>657</v>
      </c>
      <c r="E380" s="415">
        <v>2.2778999999999998</v>
      </c>
      <c r="F380" s="415">
        <v>2.2778999999999998</v>
      </c>
      <c r="G380" s="415">
        <v>2.2778999999999998</v>
      </c>
      <c r="H380" s="415">
        <v>2.2778999999999998</v>
      </c>
      <c r="I380" s="415">
        <v>2.2778999999999998</v>
      </c>
      <c r="J380" s="415">
        <v>2.2778999999999998</v>
      </c>
      <c r="K380" s="415">
        <v>2.2778999999999998</v>
      </c>
      <c r="L380" s="415">
        <v>2.2778999999999998</v>
      </c>
      <c r="M380" s="415">
        <v>2.2778999999999998</v>
      </c>
      <c r="N380" s="415">
        <v>2.2778999999999998</v>
      </c>
      <c r="O380" s="415">
        <v>2.2778999999999998</v>
      </c>
      <c r="P380" s="415">
        <v>2.2778999999999998</v>
      </c>
      <c r="Q380" s="415">
        <v>2.2778999999999998</v>
      </c>
      <c r="R380" s="415">
        <v>2.2778999999999998</v>
      </c>
      <c r="S380" s="415">
        <v>2.2778999999999998</v>
      </c>
      <c r="T380" s="415">
        <v>2.2778999999999998</v>
      </c>
      <c r="U380" s="415">
        <v>2.2778999999999998</v>
      </c>
      <c r="V380" s="415">
        <v>2.2778999999999998</v>
      </c>
    </row>
    <row r="381" spans="1:22" x14ac:dyDescent="0.25">
      <c r="A381" s="416" t="s">
        <v>483</v>
      </c>
      <c r="B381" s="416" t="s">
        <v>31</v>
      </c>
      <c r="C381" s="416"/>
      <c r="D381" s="414" t="s">
        <v>658</v>
      </c>
      <c r="E381" s="415">
        <v>1.7779</v>
      </c>
      <c r="F381" s="415">
        <v>1.7779</v>
      </c>
      <c r="G381" s="415">
        <v>2.2778999999999998</v>
      </c>
      <c r="H381" s="415">
        <v>2.2778999999999998</v>
      </c>
      <c r="I381" s="415">
        <v>2.2778999999999998</v>
      </c>
      <c r="J381" s="415">
        <v>2.2778999999999998</v>
      </c>
      <c r="K381" s="415">
        <v>1.7779</v>
      </c>
      <c r="L381" s="415">
        <v>1.7779</v>
      </c>
      <c r="M381" s="415">
        <v>1.7779</v>
      </c>
      <c r="N381" s="415">
        <v>1.7779</v>
      </c>
      <c r="O381" s="415">
        <v>2.2778999999999998</v>
      </c>
      <c r="P381" s="415">
        <v>2.2778999999999998</v>
      </c>
      <c r="Q381" s="415">
        <v>2.2778999999999998</v>
      </c>
      <c r="R381" s="415">
        <v>2.2778999999999998</v>
      </c>
      <c r="S381" s="415">
        <v>2.2778999999999998</v>
      </c>
      <c r="T381" s="415">
        <v>1.7779</v>
      </c>
      <c r="U381" s="415">
        <v>1.7779</v>
      </c>
      <c r="V381" s="415">
        <v>1.7779</v>
      </c>
    </row>
    <row r="382" spans="1:22" x14ac:dyDescent="0.25">
      <c r="A382" s="416" t="s">
        <v>483</v>
      </c>
      <c r="B382" s="416" t="s">
        <v>31</v>
      </c>
      <c r="C382" s="416" t="s">
        <v>436</v>
      </c>
      <c r="D382" s="412" t="s">
        <v>659</v>
      </c>
      <c r="E382" s="411">
        <v>76.790874413587801</v>
      </c>
      <c r="F382" s="411">
        <v>113.48130716609801</v>
      </c>
      <c r="G382" s="411">
        <v>114.642161058751</v>
      </c>
      <c r="H382" s="411">
        <v>90.046782840172497</v>
      </c>
      <c r="I382" s="411">
        <v>40.834890301943602</v>
      </c>
      <c r="J382" s="411">
        <v>26.210391757108599</v>
      </c>
      <c r="K382" s="411">
        <v>76.810159698471097</v>
      </c>
      <c r="L382" s="411">
        <v>60.370833746730298</v>
      </c>
      <c r="M382" s="411">
        <v>76.061169670279895</v>
      </c>
      <c r="N382" s="411">
        <v>120.50819579236899</v>
      </c>
      <c r="O382" s="411">
        <v>165.33734012041501</v>
      </c>
      <c r="P382" s="411">
        <v>119.345771301829</v>
      </c>
      <c r="Q382" s="411">
        <v>41.275837960724701</v>
      </c>
      <c r="R382" s="411">
        <v>26.3973147910202</v>
      </c>
      <c r="S382" s="411">
        <v>42.1462774800071</v>
      </c>
      <c r="T382" s="411">
        <v>58.205385721524102</v>
      </c>
      <c r="U382" s="411">
        <v>58.2214828121229</v>
      </c>
      <c r="V382" s="411">
        <v>61.368456698370998</v>
      </c>
    </row>
    <row r="383" spans="1:22" x14ac:dyDescent="0.25">
      <c r="A383" s="416" t="s">
        <v>483</v>
      </c>
      <c r="B383" s="416" t="s">
        <v>31</v>
      </c>
      <c r="C383" s="416"/>
      <c r="D383" s="412" t="s">
        <v>660</v>
      </c>
    </row>
    <row r="384" spans="1:22" x14ac:dyDescent="0.25">
      <c r="A384" s="416" t="s">
        <v>483</v>
      </c>
      <c r="B384" s="416" t="s">
        <v>31</v>
      </c>
      <c r="C384" s="416"/>
      <c r="D384" s="413" t="s">
        <v>678</v>
      </c>
      <c r="E384" s="411">
        <v>550</v>
      </c>
      <c r="F384" s="411">
        <v>550</v>
      </c>
      <c r="G384" s="411">
        <v>550</v>
      </c>
      <c r="H384" s="411">
        <v>550</v>
      </c>
      <c r="I384" s="411">
        <v>550</v>
      </c>
      <c r="J384" s="411">
        <v>550</v>
      </c>
      <c r="K384" s="411">
        <v>550</v>
      </c>
      <c r="L384" s="411">
        <v>550</v>
      </c>
      <c r="M384" s="411">
        <v>550</v>
      </c>
      <c r="N384" s="411">
        <v>550</v>
      </c>
      <c r="O384" s="411">
        <v>550</v>
      </c>
      <c r="P384" s="411">
        <v>550</v>
      </c>
      <c r="Q384" s="411">
        <v>550</v>
      </c>
      <c r="R384" s="411">
        <v>550</v>
      </c>
      <c r="S384" s="411">
        <v>550</v>
      </c>
      <c r="T384" s="411">
        <v>550</v>
      </c>
      <c r="U384" s="411">
        <v>550</v>
      </c>
      <c r="V384" s="411">
        <v>550</v>
      </c>
    </row>
    <row r="385" spans="1:22" x14ac:dyDescent="0.25">
      <c r="A385" s="416" t="s">
        <v>483</v>
      </c>
      <c r="B385" s="416" t="s">
        <v>31</v>
      </c>
      <c r="C385" s="416" t="s">
        <v>535</v>
      </c>
      <c r="D385" s="417" t="s">
        <v>679</v>
      </c>
      <c r="E385" s="415">
        <v>2.75</v>
      </c>
      <c r="F385" s="415">
        <v>2.75</v>
      </c>
      <c r="G385" s="415">
        <v>2.75</v>
      </c>
      <c r="H385" s="415">
        <v>2.75</v>
      </c>
      <c r="I385" s="415">
        <v>2.75</v>
      </c>
      <c r="J385" s="415">
        <v>2.75</v>
      </c>
      <c r="K385" s="415">
        <v>2.75</v>
      </c>
      <c r="L385" s="415">
        <v>2.75</v>
      </c>
      <c r="M385" s="415">
        <v>2.75</v>
      </c>
      <c r="N385" s="415">
        <v>2.75</v>
      </c>
      <c r="O385" s="415">
        <v>2.75</v>
      </c>
      <c r="P385" s="415">
        <v>2.75</v>
      </c>
      <c r="Q385" s="415">
        <v>2.75</v>
      </c>
      <c r="R385" s="415">
        <v>2.75</v>
      </c>
      <c r="S385" s="415">
        <v>2.75</v>
      </c>
      <c r="T385" s="415">
        <v>2.75</v>
      </c>
      <c r="U385" s="415">
        <v>2.75</v>
      </c>
      <c r="V385" s="415">
        <v>2.75</v>
      </c>
    </row>
    <row r="386" spans="1:22" x14ac:dyDescent="0.25">
      <c r="A386" s="416" t="s">
        <v>483</v>
      </c>
      <c r="B386" s="416" t="s">
        <v>31</v>
      </c>
      <c r="C386" s="416"/>
      <c r="D386" s="412" t="s">
        <v>661</v>
      </c>
    </row>
    <row r="387" spans="1:22" x14ac:dyDescent="0.25">
      <c r="A387" s="416" t="s">
        <v>483</v>
      </c>
      <c r="B387" s="416" t="s">
        <v>31</v>
      </c>
      <c r="C387" s="416" t="s">
        <v>536</v>
      </c>
      <c r="D387" s="412" t="s">
        <v>684</v>
      </c>
      <c r="E387" s="411">
        <v>0.15</v>
      </c>
      <c r="F387" s="411">
        <v>0.15</v>
      </c>
      <c r="G387" s="411">
        <v>0.15</v>
      </c>
      <c r="H387" s="411">
        <v>0.15</v>
      </c>
      <c r="I387" s="411">
        <v>0.15</v>
      </c>
      <c r="J387" s="411">
        <v>0.15</v>
      </c>
      <c r="K387" s="411">
        <v>0.15</v>
      </c>
      <c r="L387" s="411">
        <v>0.15</v>
      </c>
      <c r="M387" s="411">
        <v>0.15</v>
      </c>
      <c r="N387" s="411">
        <v>0.15</v>
      </c>
      <c r="O387" s="411">
        <v>0.15</v>
      </c>
      <c r="P387" s="411">
        <v>0.15</v>
      </c>
      <c r="Q387" s="411">
        <v>0.15</v>
      </c>
      <c r="R387" s="411">
        <v>0.15</v>
      </c>
      <c r="S387" s="411">
        <v>0.15</v>
      </c>
      <c r="T387" s="411">
        <v>0.15</v>
      </c>
      <c r="U387" s="411">
        <v>0.15</v>
      </c>
      <c r="V387" s="411">
        <v>0.15</v>
      </c>
    </row>
    <row r="388" spans="1:22" x14ac:dyDescent="0.25">
      <c r="A388" s="416" t="s">
        <v>483</v>
      </c>
      <c r="B388" s="416" t="s">
        <v>31</v>
      </c>
      <c r="C388" s="416"/>
      <c r="D388" s="412" t="s">
        <v>662</v>
      </c>
      <c r="E388" s="411">
        <v>80.590874413587798</v>
      </c>
      <c r="F388" s="411">
        <v>117.281307166098</v>
      </c>
      <c r="G388" s="411">
        <v>118.442161058751</v>
      </c>
      <c r="H388" s="411">
        <v>93.846782840172494</v>
      </c>
      <c r="I388" s="411">
        <v>44.634890301943599</v>
      </c>
      <c r="J388" s="411">
        <v>30.0103917571086</v>
      </c>
      <c r="K388" s="411">
        <v>80.610159698471094</v>
      </c>
      <c r="L388" s="411">
        <v>64.170833746730295</v>
      </c>
      <c r="M388" s="411">
        <v>79.861169670279907</v>
      </c>
      <c r="N388" s="411">
        <v>124.30819579236901</v>
      </c>
      <c r="O388" s="411">
        <v>169.13734012041499</v>
      </c>
      <c r="P388" s="411">
        <v>123.145771301829</v>
      </c>
      <c r="Q388" s="411">
        <v>45.075837960724698</v>
      </c>
      <c r="R388" s="411">
        <v>30.197314791020201</v>
      </c>
      <c r="S388" s="411">
        <v>45.946277480007097</v>
      </c>
      <c r="T388" s="411">
        <v>62.0053857215241</v>
      </c>
      <c r="U388" s="411">
        <v>62.021482812122898</v>
      </c>
      <c r="V388" s="411">
        <v>65.168456698371003</v>
      </c>
    </row>
    <row r="389" spans="1:22" x14ac:dyDescent="0.25">
      <c r="A389" s="416" t="s">
        <v>483</v>
      </c>
      <c r="B389" s="416" t="s">
        <v>31</v>
      </c>
      <c r="C389" s="416"/>
      <c r="D389" s="412" t="s">
        <v>663</v>
      </c>
    </row>
    <row r="390" spans="1:22" x14ac:dyDescent="0.25">
      <c r="A390" s="416" t="s">
        <v>483</v>
      </c>
      <c r="B390" s="416" t="s">
        <v>31</v>
      </c>
      <c r="C390" s="416"/>
      <c r="D390" s="414" t="s">
        <v>664</v>
      </c>
      <c r="E390" s="415">
        <v>0</v>
      </c>
      <c r="F390" s="415">
        <v>0</v>
      </c>
      <c r="G390" s="415">
        <v>0</v>
      </c>
      <c r="H390" s="415">
        <v>0</v>
      </c>
      <c r="I390" s="415">
        <v>0</v>
      </c>
      <c r="J390" s="415">
        <v>0</v>
      </c>
      <c r="K390" s="415">
        <v>0</v>
      </c>
      <c r="L390" s="415">
        <v>0</v>
      </c>
      <c r="M390" s="415">
        <v>0</v>
      </c>
      <c r="N390" s="415">
        <v>0</v>
      </c>
      <c r="O390" s="415">
        <v>0</v>
      </c>
      <c r="P390" s="415">
        <v>0</v>
      </c>
      <c r="Q390" s="415">
        <v>0</v>
      </c>
      <c r="R390" s="415">
        <v>0</v>
      </c>
      <c r="S390" s="415">
        <v>0</v>
      </c>
      <c r="T390" s="415">
        <v>0</v>
      </c>
      <c r="U390" s="415">
        <v>0</v>
      </c>
      <c r="V390" s="415">
        <v>0</v>
      </c>
    </row>
    <row r="391" spans="1:22" x14ac:dyDescent="0.25">
      <c r="A391" s="416" t="s">
        <v>483</v>
      </c>
      <c r="B391" s="416" t="s">
        <v>31</v>
      </c>
      <c r="C391" s="416" t="s">
        <v>178</v>
      </c>
      <c r="D391" s="413" t="s">
        <v>665</v>
      </c>
      <c r="E391" s="411">
        <v>0</v>
      </c>
      <c r="F391" s="411">
        <v>0</v>
      </c>
      <c r="G391" s="411">
        <v>0</v>
      </c>
      <c r="H391" s="411">
        <v>0</v>
      </c>
      <c r="I391" s="411">
        <v>0</v>
      </c>
      <c r="J391" s="411">
        <v>0</v>
      </c>
      <c r="K391" s="411">
        <v>0</v>
      </c>
      <c r="L391" s="411">
        <v>0</v>
      </c>
      <c r="M391" s="411">
        <v>0</v>
      </c>
      <c r="N391" s="411">
        <v>0</v>
      </c>
      <c r="O391" s="411">
        <v>0</v>
      </c>
      <c r="P391" s="411">
        <v>0</v>
      </c>
      <c r="Q391" s="411">
        <v>0</v>
      </c>
      <c r="R391" s="411">
        <v>0</v>
      </c>
      <c r="S391" s="411">
        <v>0</v>
      </c>
      <c r="T391" s="411">
        <v>0</v>
      </c>
      <c r="U391" s="411">
        <v>0</v>
      </c>
      <c r="V391" s="411">
        <v>0</v>
      </c>
    </row>
    <row r="392" spans="1:22" x14ac:dyDescent="0.25">
      <c r="A392" s="416" t="s">
        <v>483</v>
      </c>
      <c r="B392" s="416" t="s">
        <v>31</v>
      </c>
      <c r="C392" s="416"/>
      <c r="D392" s="412" t="s">
        <v>666</v>
      </c>
    </row>
    <row r="393" spans="1:22" x14ac:dyDescent="0.25">
      <c r="A393" s="416" t="s">
        <v>483</v>
      </c>
      <c r="B393" s="416" t="s">
        <v>31</v>
      </c>
      <c r="C393" s="416"/>
      <c r="D393" s="414" t="s">
        <v>667</v>
      </c>
      <c r="E393" s="415">
        <v>0</v>
      </c>
      <c r="F393" s="415">
        <v>0</v>
      </c>
      <c r="G393" s="415">
        <v>0</v>
      </c>
      <c r="H393" s="415">
        <v>0</v>
      </c>
      <c r="I393" s="415">
        <v>0</v>
      </c>
      <c r="J393" s="415">
        <v>0</v>
      </c>
      <c r="K393" s="415">
        <v>0</v>
      </c>
      <c r="L393" s="415">
        <v>0</v>
      </c>
      <c r="M393" s="415">
        <v>0</v>
      </c>
      <c r="N393" s="415">
        <v>0</v>
      </c>
      <c r="O393" s="415">
        <v>0</v>
      </c>
      <c r="P393" s="415">
        <v>0</v>
      </c>
      <c r="Q393" s="415">
        <v>0</v>
      </c>
      <c r="R393" s="415">
        <v>0</v>
      </c>
      <c r="S393" s="415">
        <v>0</v>
      </c>
      <c r="T393" s="415">
        <v>0</v>
      </c>
      <c r="U393" s="415">
        <v>0</v>
      </c>
      <c r="V393" s="415">
        <v>0</v>
      </c>
    </row>
    <row r="394" spans="1:22" x14ac:dyDescent="0.25">
      <c r="A394" s="416" t="s">
        <v>483</v>
      </c>
      <c r="B394" s="416" t="s">
        <v>31</v>
      </c>
      <c r="C394" s="416" t="s">
        <v>180</v>
      </c>
      <c r="D394" s="413" t="s">
        <v>668</v>
      </c>
      <c r="E394" s="411">
        <v>0</v>
      </c>
      <c r="F394" s="411">
        <v>0</v>
      </c>
      <c r="G394" s="411">
        <v>0</v>
      </c>
      <c r="H394" s="411">
        <v>0</v>
      </c>
      <c r="I394" s="411">
        <v>0</v>
      </c>
      <c r="J394" s="411">
        <v>0</v>
      </c>
      <c r="K394" s="411">
        <v>0</v>
      </c>
      <c r="L394" s="411">
        <v>0</v>
      </c>
      <c r="M394" s="411">
        <v>0</v>
      </c>
      <c r="N394" s="411">
        <v>0</v>
      </c>
      <c r="O394" s="411">
        <v>0</v>
      </c>
      <c r="P394" s="411">
        <v>0</v>
      </c>
      <c r="Q394" s="411">
        <v>0</v>
      </c>
      <c r="R394" s="411">
        <v>0</v>
      </c>
      <c r="S394" s="411">
        <v>0</v>
      </c>
      <c r="T394" s="411">
        <v>0</v>
      </c>
      <c r="U394" s="411">
        <v>0</v>
      </c>
      <c r="V394" s="411">
        <v>0</v>
      </c>
    </row>
    <row r="395" spans="1:22" x14ac:dyDescent="0.25">
      <c r="A395" s="416" t="s">
        <v>483</v>
      </c>
      <c r="B395" s="416" t="s">
        <v>31</v>
      </c>
      <c r="C395" s="416"/>
      <c r="D395" s="412" t="s">
        <v>669</v>
      </c>
    </row>
    <row r="396" spans="1:22" x14ac:dyDescent="0.25">
      <c r="A396" s="416" t="s">
        <v>483</v>
      </c>
      <c r="B396" s="416" t="s">
        <v>31</v>
      </c>
      <c r="C396" s="416"/>
      <c r="D396" s="414" t="s">
        <v>670</v>
      </c>
      <c r="E396" s="415">
        <v>2.90831517292084E-2</v>
      </c>
      <c r="F396" s="415">
        <v>2.90831517292084E-2</v>
      </c>
      <c r="G396" s="415">
        <v>2.90831517292084E-2</v>
      </c>
      <c r="H396" s="415">
        <v>2.90831517292084E-2</v>
      </c>
      <c r="I396" s="415">
        <v>2.90831517292084E-2</v>
      </c>
      <c r="J396" s="415">
        <v>2.90831517292084E-2</v>
      </c>
      <c r="K396" s="415">
        <v>2.90831517292084E-2</v>
      </c>
      <c r="L396" s="415">
        <v>2.90831517292084E-2</v>
      </c>
      <c r="M396" s="415">
        <v>2.90831517292084E-2</v>
      </c>
      <c r="N396" s="415">
        <v>2.90831517292084E-2</v>
      </c>
      <c r="O396" s="415">
        <v>2.90831517292084E-2</v>
      </c>
      <c r="P396" s="415">
        <v>2.90831517292084E-2</v>
      </c>
      <c r="Q396" s="415">
        <v>2.90831517292084E-2</v>
      </c>
      <c r="R396" s="415">
        <v>2.90831517292084E-2</v>
      </c>
      <c r="S396" s="415">
        <v>2.90831517292084E-2</v>
      </c>
      <c r="T396" s="415">
        <v>2.90831517292084E-2</v>
      </c>
      <c r="U396" s="415">
        <v>2.90831517292084E-2</v>
      </c>
      <c r="V396" s="415">
        <v>2.90831517292084E-2</v>
      </c>
    </row>
    <row r="397" spans="1:22" x14ac:dyDescent="0.25">
      <c r="A397" s="416" t="s">
        <v>483</v>
      </c>
      <c r="B397" s="416" t="s">
        <v>31</v>
      </c>
      <c r="C397" s="416" t="s">
        <v>424</v>
      </c>
      <c r="D397" s="413" t="s">
        <v>671</v>
      </c>
      <c r="E397" s="411">
        <v>8.6103098119020807</v>
      </c>
      <c r="F397" s="411">
        <v>7.9694662024940399</v>
      </c>
      <c r="G397" s="411">
        <v>6.3842958470891604</v>
      </c>
      <c r="H397" s="411">
        <v>4.4047580736538796</v>
      </c>
      <c r="I397" s="411">
        <v>2.6961003285474998</v>
      </c>
      <c r="J397" s="411">
        <v>1.83835503211103</v>
      </c>
      <c r="K397" s="411">
        <v>10.854382378769699</v>
      </c>
      <c r="L397" s="411">
        <v>9.0311387632786992</v>
      </c>
      <c r="M397" s="411">
        <v>10.4209330591286</v>
      </c>
      <c r="N397" s="411">
        <v>12.408173290942701</v>
      </c>
      <c r="O397" s="411">
        <v>12.0964232845335</v>
      </c>
      <c r="P397" s="411">
        <v>7.5084344240365697</v>
      </c>
      <c r="Q397" s="411">
        <v>3.0186950918720901</v>
      </c>
      <c r="R397" s="411">
        <v>2.0492413155202001</v>
      </c>
      <c r="S397" s="411">
        <v>3.8415462178069402</v>
      </c>
      <c r="T397" s="411">
        <v>6.6183955208963301</v>
      </c>
      <c r="U397" s="411">
        <v>7.9063570264852396</v>
      </c>
      <c r="V397" s="411">
        <v>9.73128247534477</v>
      </c>
    </row>
    <row r="398" spans="1:22" x14ac:dyDescent="0.25">
      <c r="A398" s="416" t="s">
        <v>483</v>
      </c>
      <c r="B398" s="416" t="s">
        <v>31</v>
      </c>
      <c r="C398" s="416"/>
      <c r="D398" s="412" t="s">
        <v>672</v>
      </c>
      <c r="E398" s="411">
        <v>89.201184225489897</v>
      </c>
      <c r="F398" s="411">
        <v>125.25077336859199</v>
      </c>
      <c r="G398" s="411">
        <v>124.82645690584</v>
      </c>
      <c r="H398" s="411">
        <v>98.251540913826304</v>
      </c>
      <c r="I398" s="411">
        <v>47.3309906304912</v>
      </c>
      <c r="J398" s="411">
        <v>31.8487467892196</v>
      </c>
      <c r="K398" s="411">
        <v>91.464542077240907</v>
      </c>
      <c r="L398" s="411">
        <v>73.201972510009</v>
      </c>
      <c r="M398" s="411">
        <v>90.282102729408507</v>
      </c>
      <c r="N398" s="411">
        <v>136.716369083312</v>
      </c>
      <c r="O398" s="411">
        <v>181.233763404949</v>
      </c>
      <c r="P398" s="411">
        <v>130.65420572586501</v>
      </c>
      <c r="Q398" s="411">
        <v>48.094533052596702</v>
      </c>
      <c r="R398" s="411">
        <v>32.246556106540403</v>
      </c>
      <c r="S398" s="411">
        <v>49.787823697814098</v>
      </c>
      <c r="T398" s="411">
        <v>68.623781242420407</v>
      </c>
      <c r="U398" s="411">
        <v>69.927839838608193</v>
      </c>
      <c r="V398" s="411">
        <v>74.899739173715702</v>
      </c>
    </row>
    <row r="399" spans="1:22" s="84" customFormat="1" x14ac:dyDescent="0.25">
      <c r="A399" s="613" t="s">
        <v>102</v>
      </c>
      <c r="B399" s="613" t="s">
        <v>5</v>
      </c>
      <c r="C399" s="613"/>
      <c r="D399" s="643" t="s">
        <v>687</v>
      </c>
    </row>
    <row r="400" spans="1:22" x14ac:dyDescent="0.25">
      <c r="A400" s="416" t="s">
        <v>102</v>
      </c>
      <c r="B400" s="416" t="s">
        <v>5</v>
      </c>
      <c r="C400" s="416"/>
      <c r="D400" s="412" t="s">
        <v>645</v>
      </c>
    </row>
    <row r="401" spans="1:22" x14ac:dyDescent="0.25">
      <c r="A401" s="416" t="s">
        <v>102</v>
      </c>
      <c r="B401" s="416" t="s">
        <v>5</v>
      </c>
      <c r="C401" s="416"/>
      <c r="D401" s="413" t="s">
        <v>646</v>
      </c>
      <c r="E401" s="411">
        <v>2</v>
      </c>
      <c r="F401" s="411">
        <v>2</v>
      </c>
      <c r="G401" s="411">
        <v>2</v>
      </c>
      <c r="H401" s="411">
        <v>2</v>
      </c>
      <c r="I401" s="411">
        <v>2</v>
      </c>
      <c r="J401" s="411">
        <v>2</v>
      </c>
      <c r="K401" s="411">
        <v>2</v>
      </c>
      <c r="L401" s="411">
        <v>2</v>
      </c>
      <c r="M401" s="411">
        <v>2</v>
      </c>
      <c r="N401" s="411">
        <v>2</v>
      </c>
      <c r="O401" s="411">
        <v>2</v>
      </c>
      <c r="P401" s="411">
        <v>2</v>
      </c>
      <c r="Q401" s="411">
        <v>2</v>
      </c>
      <c r="R401" s="411">
        <v>2</v>
      </c>
      <c r="S401" s="411">
        <v>2</v>
      </c>
      <c r="T401" s="411">
        <v>2</v>
      </c>
      <c r="U401" s="411">
        <v>2</v>
      </c>
      <c r="V401" s="411">
        <v>2</v>
      </c>
    </row>
    <row r="402" spans="1:22" x14ac:dyDescent="0.25">
      <c r="A402" s="416" t="s">
        <v>102</v>
      </c>
      <c r="B402" s="416" t="s">
        <v>5</v>
      </c>
      <c r="C402" s="416"/>
      <c r="D402" s="413" t="s">
        <v>647</v>
      </c>
      <c r="E402" s="411">
        <v>0</v>
      </c>
      <c r="F402" s="411">
        <v>0</v>
      </c>
      <c r="G402" s="411">
        <v>0</v>
      </c>
      <c r="H402" s="411">
        <v>0</v>
      </c>
      <c r="I402" s="411">
        <v>0</v>
      </c>
      <c r="J402" s="411">
        <v>0</v>
      </c>
      <c r="K402" s="411">
        <v>0</v>
      </c>
      <c r="L402" s="411">
        <v>0</v>
      </c>
      <c r="M402" s="411">
        <v>0</v>
      </c>
      <c r="N402" s="411">
        <v>0</v>
      </c>
      <c r="O402" s="411">
        <v>0</v>
      </c>
      <c r="P402" s="411">
        <v>0</v>
      </c>
      <c r="Q402" s="411">
        <v>0</v>
      </c>
      <c r="R402" s="411">
        <v>0</v>
      </c>
      <c r="S402" s="411">
        <v>0</v>
      </c>
      <c r="T402" s="411">
        <v>0</v>
      </c>
      <c r="U402" s="411">
        <v>0</v>
      </c>
      <c r="V402" s="411">
        <v>0</v>
      </c>
    </row>
    <row r="403" spans="1:22" x14ac:dyDescent="0.25">
      <c r="A403" s="416" t="s">
        <v>102</v>
      </c>
      <c r="B403" s="416" t="s">
        <v>5</v>
      </c>
      <c r="C403" s="416"/>
      <c r="D403" s="413" t="s">
        <v>648</v>
      </c>
      <c r="E403" s="411">
        <v>2</v>
      </c>
      <c r="F403" s="411">
        <v>2</v>
      </c>
      <c r="G403" s="411">
        <v>2</v>
      </c>
      <c r="H403" s="411">
        <v>2</v>
      </c>
      <c r="I403" s="411">
        <v>2</v>
      </c>
      <c r="J403" s="411">
        <v>2</v>
      </c>
      <c r="K403" s="411">
        <v>2</v>
      </c>
      <c r="L403" s="411">
        <v>2</v>
      </c>
      <c r="M403" s="411">
        <v>2</v>
      </c>
      <c r="N403" s="411">
        <v>2</v>
      </c>
      <c r="O403" s="411">
        <v>2</v>
      </c>
      <c r="P403" s="411">
        <v>2</v>
      </c>
      <c r="Q403" s="411">
        <v>2</v>
      </c>
      <c r="R403" s="411">
        <v>2</v>
      </c>
      <c r="S403" s="411">
        <v>2</v>
      </c>
      <c r="T403" s="411">
        <v>2</v>
      </c>
      <c r="U403" s="411">
        <v>2</v>
      </c>
      <c r="V403" s="411">
        <v>2</v>
      </c>
    </row>
    <row r="404" spans="1:22" x14ac:dyDescent="0.25">
      <c r="A404" s="416" t="s">
        <v>102</v>
      </c>
      <c r="B404" s="416" t="s">
        <v>5</v>
      </c>
      <c r="C404" s="416"/>
      <c r="D404" s="413" t="s">
        <v>649</v>
      </c>
      <c r="E404" s="411">
        <v>400</v>
      </c>
      <c r="F404" s="411">
        <v>400</v>
      </c>
      <c r="G404" s="411">
        <v>400</v>
      </c>
      <c r="H404" s="411">
        <v>400</v>
      </c>
      <c r="I404" s="411">
        <v>400</v>
      </c>
      <c r="J404" s="411">
        <v>400</v>
      </c>
      <c r="K404" s="411">
        <v>400</v>
      </c>
      <c r="L404" s="411">
        <v>400</v>
      </c>
      <c r="M404" s="411">
        <v>400</v>
      </c>
      <c r="N404" s="411">
        <v>400</v>
      </c>
      <c r="O404" s="411">
        <v>400</v>
      </c>
      <c r="P404" s="411">
        <v>400</v>
      </c>
      <c r="Q404" s="411">
        <v>400</v>
      </c>
      <c r="R404" s="411">
        <v>400</v>
      </c>
      <c r="S404" s="411">
        <v>400</v>
      </c>
      <c r="T404" s="411">
        <v>400</v>
      </c>
      <c r="U404" s="411">
        <v>400</v>
      </c>
      <c r="V404" s="411">
        <v>400</v>
      </c>
    </row>
    <row r="405" spans="1:22" x14ac:dyDescent="0.25">
      <c r="A405" s="416" t="s">
        <v>102</v>
      </c>
      <c r="B405" s="416" t="s">
        <v>5</v>
      </c>
      <c r="C405" s="416"/>
      <c r="D405" s="413" t="s">
        <v>650</v>
      </c>
      <c r="E405" s="411">
        <v>0</v>
      </c>
      <c r="F405" s="411">
        <v>0</v>
      </c>
      <c r="G405" s="411">
        <v>0</v>
      </c>
      <c r="H405" s="411">
        <v>0</v>
      </c>
      <c r="I405" s="411">
        <v>0</v>
      </c>
      <c r="J405" s="411">
        <v>0</v>
      </c>
      <c r="K405" s="411">
        <v>0</v>
      </c>
      <c r="L405" s="411">
        <v>0</v>
      </c>
      <c r="M405" s="411">
        <v>0</v>
      </c>
      <c r="N405" s="411">
        <v>0</v>
      </c>
      <c r="O405" s="411">
        <v>0</v>
      </c>
      <c r="P405" s="411">
        <v>0</v>
      </c>
      <c r="Q405" s="411">
        <v>0</v>
      </c>
      <c r="R405" s="411">
        <v>0</v>
      </c>
      <c r="S405" s="411">
        <v>0</v>
      </c>
      <c r="T405" s="411">
        <v>0</v>
      </c>
      <c r="U405" s="411">
        <v>0</v>
      </c>
      <c r="V405" s="411">
        <v>0</v>
      </c>
    </row>
    <row r="406" spans="1:22" x14ac:dyDescent="0.25">
      <c r="A406" s="416" t="s">
        <v>102</v>
      </c>
      <c r="B406" s="416" t="s">
        <v>5</v>
      </c>
      <c r="C406" s="416" t="s">
        <v>154</v>
      </c>
      <c r="D406" s="412" t="s">
        <v>651</v>
      </c>
      <c r="E406" s="411">
        <v>0.8</v>
      </c>
      <c r="F406" s="411">
        <v>0.8</v>
      </c>
      <c r="G406" s="411">
        <v>0.8</v>
      </c>
      <c r="H406" s="411">
        <v>0.8</v>
      </c>
      <c r="I406" s="411">
        <v>0.8</v>
      </c>
      <c r="J406" s="411">
        <v>0.8</v>
      </c>
      <c r="K406" s="411">
        <v>0.8</v>
      </c>
      <c r="L406" s="411">
        <v>0.8</v>
      </c>
      <c r="M406" s="411">
        <v>0.8</v>
      </c>
      <c r="N406" s="411">
        <v>0.8</v>
      </c>
      <c r="O406" s="411">
        <v>0.8</v>
      </c>
      <c r="P406" s="411">
        <v>0.8</v>
      </c>
      <c r="Q406" s="411">
        <v>0.8</v>
      </c>
      <c r="R406" s="411">
        <v>0.8</v>
      </c>
      <c r="S406" s="411">
        <v>0.8</v>
      </c>
      <c r="T406" s="411">
        <v>0.8</v>
      </c>
      <c r="U406" s="411">
        <v>0.8</v>
      </c>
      <c r="V406" s="411">
        <v>0.8</v>
      </c>
    </row>
    <row r="407" spans="1:22" x14ac:dyDescent="0.25">
      <c r="A407" s="416" t="s">
        <v>102</v>
      </c>
      <c r="B407" s="416" t="s">
        <v>5</v>
      </c>
      <c r="C407" s="416"/>
      <c r="D407" s="412" t="s">
        <v>652</v>
      </c>
    </row>
    <row r="408" spans="1:22" x14ac:dyDescent="0.25">
      <c r="A408" s="416" t="s">
        <v>102</v>
      </c>
      <c r="B408" s="416" t="s">
        <v>5</v>
      </c>
      <c r="C408" s="416"/>
      <c r="D408" s="413" t="s">
        <v>653</v>
      </c>
      <c r="E408" s="411">
        <v>2782.9581269999999</v>
      </c>
      <c r="F408" s="411">
        <v>3521.9537849999901</v>
      </c>
      <c r="G408" s="411">
        <v>3912.6435959999999</v>
      </c>
      <c r="H408" s="411">
        <v>4208.9920401999998</v>
      </c>
      <c r="I408" s="411">
        <v>4330.8183252999997</v>
      </c>
      <c r="J408" s="411">
        <v>3618.4850550000001</v>
      </c>
      <c r="K408" s="411">
        <v>2348.4319089999999</v>
      </c>
      <c r="L408" s="411">
        <v>2413.3539940000001</v>
      </c>
      <c r="M408" s="411">
        <v>2512.790739</v>
      </c>
      <c r="N408" s="411">
        <v>3728.087368</v>
      </c>
      <c r="O408" s="411">
        <v>3343.0375530000001</v>
      </c>
      <c r="P408" s="411">
        <v>3903.4085791000002</v>
      </c>
      <c r="Q408" s="411">
        <v>4381.4149010000001</v>
      </c>
      <c r="R408" s="411">
        <v>3651.0720240000001</v>
      </c>
      <c r="S408" s="411">
        <v>2568.1109483999999</v>
      </c>
      <c r="T408" s="411">
        <v>2221.2573284</v>
      </c>
      <c r="U408" s="411">
        <v>1998.2515954999999</v>
      </c>
      <c r="V408" s="411">
        <v>2135.4861221000001</v>
      </c>
    </row>
    <row r="409" spans="1:22" x14ac:dyDescent="0.25">
      <c r="A409" s="416" t="s">
        <v>102</v>
      </c>
      <c r="B409" s="416" t="s">
        <v>5</v>
      </c>
      <c r="C409" s="416"/>
      <c r="D409" s="413" t="s">
        <v>654</v>
      </c>
      <c r="E409" s="411">
        <v>0</v>
      </c>
      <c r="F409" s="411">
        <v>0</v>
      </c>
      <c r="G409" s="411">
        <v>0</v>
      </c>
      <c r="H409" s="411">
        <v>0</v>
      </c>
      <c r="I409" s="411">
        <v>0</v>
      </c>
      <c r="J409" s="411">
        <v>0</v>
      </c>
      <c r="K409" s="411">
        <v>0</v>
      </c>
      <c r="L409" s="411">
        <v>0</v>
      </c>
      <c r="M409" s="411">
        <v>0</v>
      </c>
      <c r="N409" s="411">
        <v>0</v>
      </c>
      <c r="O409" s="411">
        <v>0</v>
      </c>
      <c r="P409" s="411">
        <v>0</v>
      </c>
      <c r="Q409" s="411">
        <v>0</v>
      </c>
      <c r="R409" s="411">
        <v>0</v>
      </c>
      <c r="S409" s="411">
        <v>0</v>
      </c>
      <c r="T409" s="411">
        <v>0</v>
      </c>
      <c r="U409" s="411">
        <v>0</v>
      </c>
      <c r="V409" s="411">
        <v>0</v>
      </c>
    </row>
    <row r="410" spans="1:22" x14ac:dyDescent="0.25">
      <c r="A410" s="416" t="s">
        <v>102</v>
      </c>
      <c r="B410" s="416" t="s">
        <v>5</v>
      </c>
      <c r="C410" s="416"/>
      <c r="D410" s="414" t="s">
        <v>655</v>
      </c>
      <c r="E410" s="415">
        <v>2.7829581270000001</v>
      </c>
      <c r="F410" s="415">
        <v>3.5219537849999898</v>
      </c>
      <c r="G410" s="415">
        <v>3.9126435960000001</v>
      </c>
      <c r="H410" s="415">
        <v>4.2089920402000001</v>
      </c>
      <c r="I410" s="415">
        <v>4.3308183253000001</v>
      </c>
      <c r="J410" s="415">
        <v>3.6184850549999998</v>
      </c>
      <c r="K410" s="415">
        <v>2.3484319089999999</v>
      </c>
      <c r="L410" s="415">
        <v>2.4133539939999999</v>
      </c>
      <c r="M410" s="415">
        <v>2.5127907390000002</v>
      </c>
      <c r="N410" s="415">
        <v>3.7280873680000002</v>
      </c>
      <c r="O410" s="415">
        <v>3.3430375529999998</v>
      </c>
      <c r="P410" s="415">
        <v>3.9034085791000002</v>
      </c>
      <c r="Q410" s="415">
        <v>4.3814149010000003</v>
      </c>
      <c r="R410" s="415">
        <v>3.6510720239999999</v>
      </c>
      <c r="S410" s="415">
        <v>2.56811094839999</v>
      </c>
      <c r="T410" s="415">
        <v>2.2212573284000001</v>
      </c>
      <c r="U410" s="415">
        <v>1.9982515955</v>
      </c>
      <c r="V410" s="415">
        <v>2.1354861221000001</v>
      </c>
    </row>
    <row r="411" spans="1:22" x14ac:dyDescent="0.25">
      <c r="A411" s="416" t="s">
        <v>102</v>
      </c>
      <c r="B411" s="416" t="s">
        <v>5</v>
      </c>
      <c r="C411" s="416"/>
      <c r="D411" s="414" t="s">
        <v>656</v>
      </c>
      <c r="E411" s="415">
        <v>0.70089999999999997</v>
      </c>
      <c r="F411" s="415">
        <v>0.70089999999999997</v>
      </c>
      <c r="G411" s="415">
        <v>0.70089999999999997</v>
      </c>
      <c r="H411" s="415">
        <v>0.70089999999999997</v>
      </c>
      <c r="I411" s="415">
        <v>0.70089999999999997</v>
      </c>
      <c r="J411" s="415">
        <v>0.70089999999999997</v>
      </c>
      <c r="K411" s="415">
        <v>0.70089999999999997</v>
      </c>
      <c r="L411" s="415">
        <v>0.70089999999999997</v>
      </c>
      <c r="M411" s="415">
        <v>0.70089999999999997</v>
      </c>
      <c r="N411" s="415">
        <v>0.70089999999999997</v>
      </c>
      <c r="O411" s="415">
        <v>0.70089999999999997</v>
      </c>
      <c r="P411" s="415">
        <v>0.70089999999999997</v>
      </c>
      <c r="Q411" s="415">
        <v>0.70089999999999997</v>
      </c>
      <c r="R411" s="415">
        <v>0.70089999999999997</v>
      </c>
      <c r="S411" s="415">
        <v>0.70089999999999997</v>
      </c>
      <c r="T411" s="415">
        <v>0.70089999999999997</v>
      </c>
      <c r="U411" s="415">
        <v>0.70089999999999997</v>
      </c>
      <c r="V411" s="415">
        <v>0.70089999999999997</v>
      </c>
    </row>
    <row r="412" spans="1:22" x14ac:dyDescent="0.25">
      <c r="A412" s="416" t="s">
        <v>102</v>
      </c>
      <c r="B412" s="416" t="s">
        <v>5</v>
      </c>
      <c r="C412" s="416"/>
      <c r="D412" s="414" t="s">
        <v>657</v>
      </c>
      <c r="E412" s="415">
        <v>0.70089999999999997</v>
      </c>
      <c r="F412" s="415">
        <v>0.70089999999999997</v>
      </c>
      <c r="G412" s="415">
        <v>0.70089999999999997</v>
      </c>
      <c r="H412" s="415">
        <v>0.70089999999999997</v>
      </c>
      <c r="I412" s="415">
        <v>0.70089999999999997</v>
      </c>
      <c r="J412" s="415">
        <v>0.70089999999999997</v>
      </c>
      <c r="K412" s="415">
        <v>0.70089999999999997</v>
      </c>
      <c r="L412" s="415">
        <v>0.70089999999999997</v>
      </c>
      <c r="M412" s="415">
        <v>0.70089999999999997</v>
      </c>
      <c r="N412" s="415">
        <v>0.70089999999999997</v>
      </c>
      <c r="O412" s="415">
        <v>0.70089999999999997</v>
      </c>
      <c r="P412" s="415">
        <v>0.70089999999999997</v>
      </c>
      <c r="Q412" s="415">
        <v>0.70089999999999997</v>
      </c>
      <c r="R412" s="415">
        <v>0.70089999999999997</v>
      </c>
      <c r="S412" s="415">
        <v>0.70089999999999997</v>
      </c>
      <c r="T412" s="415">
        <v>0.70089999999999997</v>
      </c>
      <c r="U412" s="415">
        <v>0.70089999999999997</v>
      </c>
      <c r="V412" s="415">
        <v>0.70089999999999997</v>
      </c>
    </row>
    <row r="413" spans="1:22" x14ac:dyDescent="0.25">
      <c r="A413" s="416" t="s">
        <v>102</v>
      </c>
      <c r="B413" s="416" t="s">
        <v>5</v>
      </c>
      <c r="C413" s="416"/>
      <c r="D413" s="414" t="s">
        <v>658</v>
      </c>
      <c r="E413" s="415">
        <v>0</v>
      </c>
      <c r="F413" s="415">
        <v>0</v>
      </c>
      <c r="G413" s="415">
        <v>0</v>
      </c>
      <c r="H413" s="415">
        <v>0</v>
      </c>
      <c r="I413" s="415">
        <v>0</v>
      </c>
      <c r="J413" s="415">
        <v>0</v>
      </c>
      <c r="K413" s="415">
        <v>0</v>
      </c>
      <c r="L413" s="415">
        <v>0</v>
      </c>
      <c r="M413" s="415">
        <v>0</v>
      </c>
      <c r="N413" s="415">
        <v>0</v>
      </c>
      <c r="O413" s="415">
        <v>0</v>
      </c>
      <c r="P413" s="415">
        <v>0</v>
      </c>
      <c r="Q413" s="415">
        <v>0</v>
      </c>
      <c r="R413" s="415">
        <v>0</v>
      </c>
      <c r="S413" s="415">
        <v>0</v>
      </c>
      <c r="T413" s="415">
        <v>0</v>
      </c>
      <c r="U413" s="415">
        <v>0</v>
      </c>
      <c r="V413" s="415">
        <v>0</v>
      </c>
    </row>
    <row r="414" spans="1:22" x14ac:dyDescent="0.25">
      <c r="A414" s="416" t="s">
        <v>102</v>
      </c>
      <c r="B414" s="416" t="s">
        <v>5</v>
      </c>
      <c r="C414" s="416" t="s">
        <v>436</v>
      </c>
      <c r="D414" s="412" t="s">
        <v>659</v>
      </c>
      <c r="E414" s="411">
        <v>1.95057535121429</v>
      </c>
      <c r="F414" s="411">
        <v>2.4685374079064899</v>
      </c>
      <c r="G414" s="411">
        <v>2.7423718964363899</v>
      </c>
      <c r="H414" s="411">
        <v>2.9500825209761699</v>
      </c>
      <c r="I414" s="411">
        <v>3.0354705642027699</v>
      </c>
      <c r="J414" s="411">
        <v>2.5361961750494899</v>
      </c>
      <c r="K414" s="411">
        <v>1.6460159250180999</v>
      </c>
      <c r="L414" s="411">
        <v>1.6915198143946</v>
      </c>
      <c r="M414" s="411">
        <v>1.7612150289650901</v>
      </c>
      <c r="N414" s="411">
        <v>2.6130164362312001</v>
      </c>
      <c r="O414" s="411">
        <v>2.3431350208977002</v>
      </c>
      <c r="P414" s="411">
        <v>2.7358990730911898</v>
      </c>
      <c r="Q414" s="411">
        <v>3.0709337041108999</v>
      </c>
      <c r="R414" s="411">
        <v>2.5590363816216</v>
      </c>
      <c r="S414" s="411">
        <v>1.79998896373355</v>
      </c>
      <c r="T414" s="411">
        <v>1.55687926147556</v>
      </c>
      <c r="U414" s="411">
        <v>1.40057454328595</v>
      </c>
      <c r="V414" s="411">
        <v>1.49676222297989</v>
      </c>
    </row>
    <row r="415" spans="1:22" x14ac:dyDescent="0.25">
      <c r="A415" s="416" t="s">
        <v>102</v>
      </c>
      <c r="B415" s="416" t="s">
        <v>5</v>
      </c>
      <c r="C415" s="416"/>
      <c r="D415" s="412" t="s">
        <v>660</v>
      </c>
    </row>
    <row r="416" spans="1:22" x14ac:dyDescent="0.25">
      <c r="A416" s="416" t="s">
        <v>102</v>
      </c>
      <c r="B416" s="416" t="s">
        <v>5</v>
      </c>
      <c r="C416" s="416"/>
      <c r="D416" s="412" t="s">
        <v>661</v>
      </c>
    </row>
    <row r="417" spans="1:22" x14ac:dyDescent="0.25">
      <c r="A417" s="416" t="s">
        <v>102</v>
      </c>
      <c r="B417" s="416" t="s">
        <v>5</v>
      </c>
      <c r="C417" s="416"/>
      <c r="D417" s="412" t="s">
        <v>662</v>
      </c>
      <c r="E417" s="411">
        <v>2.7505753512142999</v>
      </c>
      <c r="F417" s="411">
        <v>3.2685374079064999</v>
      </c>
      <c r="G417" s="411">
        <v>3.5423718964363999</v>
      </c>
      <c r="H417" s="411">
        <v>3.7500825209761701</v>
      </c>
      <c r="I417" s="411">
        <v>3.83547056420276</v>
      </c>
      <c r="J417" s="411">
        <v>3.3361961750494902</v>
      </c>
      <c r="K417" s="411">
        <v>2.4460159250180999</v>
      </c>
      <c r="L417" s="411">
        <v>2.4915198143946</v>
      </c>
      <c r="M417" s="411">
        <v>2.5612150289650999</v>
      </c>
      <c r="N417" s="411">
        <v>3.4130164362311999</v>
      </c>
      <c r="O417" s="411">
        <v>3.1431350208977</v>
      </c>
      <c r="P417" s="411">
        <v>3.5358990730911901</v>
      </c>
      <c r="Q417" s="411">
        <v>3.8709337041109002</v>
      </c>
      <c r="R417" s="411">
        <v>3.3590363816215998</v>
      </c>
      <c r="S417" s="411">
        <v>2.5999889637335598</v>
      </c>
      <c r="T417" s="411">
        <v>2.35687926147556</v>
      </c>
      <c r="U417" s="411">
        <v>2.20057454328595</v>
      </c>
      <c r="V417" s="411">
        <v>2.2967622229798899</v>
      </c>
    </row>
    <row r="418" spans="1:22" x14ac:dyDescent="0.25">
      <c r="A418" s="416" t="s">
        <v>102</v>
      </c>
      <c r="B418" s="416" t="s">
        <v>5</v>
      </c>
      <c r="C418" s="416"/>
      <c r="D418" s="412" t="s">
        <v>663</v>
      </c>
    </row>
    <row r="419" spans="1:22" x14ac:dyDescent="0.25">
      <c r="A419" s="416" t="s">
        <v>102</v>
      </c>
      <c r="B419" s="416" t="s">
        <v>5</v>
      </c>
      <c r="C419" s="416"/>
      <c r="D419" s="414" t="s">
        <v>664</v>
      </c>
      <c r="E419" s="415">
        <v>3.54132328535503</v>
      </c>
      <c r="F419" s="415">
        <v>4.0825536529198896</v>
      </c>
      <c r="G419" s="415">
        <v>4.6151370530302804</v>
      </c>
      <c r="H419" s="415">
        <v>4.7204926546137003</v>
      </c>
      <c r="I419" s="415">
        <v>4.2816079006073897</v>
      </c>
      <c r="J419" s="415">
        <v>4.61774840312499</v>
      </c>
      <c r="K419" s="415">
        <v>3.6370825733754901</v>
      </c>
      <c r="L419" s="415">
        <v>3.1998593487156</v>
      </c>
      <c r="M419" s="415">
        <v>3.4441400635944199</v>
      </c>
      <c r="N419" s="415">
        <v>2.6697967759149801</v>
      </c>
      <c r="O419" s="415">
        <v>3.6621728781104101</v>
      </c>
      <c r="P419" s="415">
        <v>3.9547219031793199</v>
      </c>
      <c r="Q419" s="415">
        <v>4.3060793499123999</v>
      </c>
      <c r="R419" s="415">
        <v>4.66270835833049</v>
      </c>
      <c r="S419" s="415">
        <v>5.2056863414265502</v>
      </c>
      <c r="T419" s="415">
        <v>5.4531502607765896</v>
      </c>
      <c r="U419" s="415">
        <v>5.0764131270513699</v>
      </c>
      <c r="V419" s="415">
        <v>4.0447960531742</v>
      </c>
    </row>
    <row r="420" spans="1:22" x14ac:dyDescent="0.25">
      <c r="A420" s="416" t="s">
        <v>102</v>
      </c>
      <c r="B420" s="416" t="s">
        <v>5</v>
      </c>
      <c r="C420" s="416" t="s">
        <v>178</v>
      </c>
      <c r="D420" s="413" t="s">
        <v>665</v>
      </c>
      <c r="E420" s="411">
        <v>9.85535441731313</v>
      </c>
      <c r="F420" s="411">
        <v>14.3785652903667</v>
      </c>
      <c r="G420" s="411">
        <v>18.057386435201199</v>
      </c>
      <c r="H420" s="411">
        <v>19.8685160090916</v>
      </c>
      <c r="I420" s="411">
        <v>18.5428659576997</v>
      </c>
      <c r="J420" s="411">
        <v>16.709253584457901</v>
      </c>
      <c r="K420" s="411">
        <v>8.5414407709828399</v>
      </c>
      <c r="L420" s="411">
        <v>7.7223933394610498</v>
      </c>
      <c r="M420" s="411">
        <v>8.6544032556189396</v>
      </c>
      <c r="N420" s="411">
        <v>9.9532356354157994</v>
      </c>
      <c r="O420" s="411">
        <v>12.2427814571012</v>
      </c>
      <c r="P420" s="411">
        <v>15.436895404824799</v>
      </c>
      <c r="Q420" s="411">
        <v>18.866720228594598</v>
      </c>
      <c r="R420" s="411">
        <v>17.0238840431714</v>
      </c>
      <c r="S420" s="411">
        <v>13.3687800873538</v>
      </c>
      <c r="T420" s="411">
        <v>12.1128499796163</v>
      </c>
      <c r="U420" s="411">
        <v>10.143950630547501</v>
      </c>
      <c r="V420" s="411">
        <v>8.6376058382783594</v>
      </c>
    </row>
    <row r="421" spans="1:22" x14ac:dyDescent="0.25">
      <c r="A421" s="416" t="s">
        <v>102</v>
      </c>
      <c r="B421" s="416" t="s">
        <v>5</v>
      </c>
      <c r="C421" s="416"/>
      <c r="D421" s="412" t="s">
        <v>666</v>
      </c>
    </row>
    <row r="422" spans="1:22" x14ac:dyDescent="0.25">
      <c r="A422" s="416" t="s">
        <v>102</v>
      </c>
      <c r="B422" s="416" t="s">
        <v>5</v>
      </c>
      <c r="C422" s="416"/>
      <c r="D422" s="414" t="s">
        <v>667</v>
      </c>
      <c r="E422" s="415">
        <v>0.34906843462946002</v>
      </c>
      <c r="F422" s="415">
        <v>0.16939007523933</v>
      </c>
      <c r="G422" s="415">
        <v>9.4024398016510996E-2</v>
      </c>
      <c r="H422" s="415">
        <v>7.9005885786712304E-2</v>
      </c>
      <c r="I422" s="415">
        <v>4.2818241030573301E-2</v>
      </c>
      <c r="J422" s="415">
        <v>5.3348528484577801E-2</v>
      </c>
      <c r="K422" s="415">
        <v>0.24690512534735301</v>
      </c>
      <c r="L422" s="415">
        <v>0.286805863570613</v>
      </c>
      <c r="M422" s="415">
        <v>0.2714755224323</v>
      </c>
      <c r="N422" s="415">
        <v>0.23977615362243901</v>
      </c>
      <c r="O422" s="415">
        <v>0.112823983088882</v>
      </c>
      <c r="P422" s="415">
        <v>3.1676324500992899E-2</v>
      </c>
      <c r="Q422" s="415">
        <v>5.1767532114618299E-2</v>
      </c>
      <c r="R422" s="415">
        <v>6.4560825100963504E-2</v>
      </c>
      <c r="S422" s="415">
        <v>0.10990553607190399</v>
      </c>
      <c r="T422" s="415">
        <v>0.18637651503338701</v>
      </c>
      <c r="U422" s="415">
        <v>0.28860955010716799</v>
      </c>
      <c r="V422" s="415">
        <v>0.33287319112658798</v>
      </c>
    </row>
    <row r="423" spans="1:22" x14ac:dyDescent="0.25">
      <c r="A423" s="416" t="s">
        <v>102</v>
      </c>
      <c r="B423" s="416" t="s">
        <v>5</v>
      </c>
      <c r="C423" s="416" t="s">
        <v>180</v>
      </c>
      <c r="D423" s="413" t="s">
        <v>668</v>
      </c>
      <c r="E423" s="411">
        <v>0.97144283703122503</v>
      </c>
      <c r="F423" s="411">
        <v>0.59658401663059302</v>
      </c>
      <c r="G423" s="411">
        <v>0.36788395876705698</v>
      </c>
      <c r="H423" s="411">
        <v>0.33253514440522203</v>
      </c>
      <c r="I423" s="411">
        <v>0.18543802291231901</v>
      </c>
      <c r="J423" s="411">
        <v>0.193040853027686</v>
      </c>
      <c r="K423" s="411">
        <v>0.57983987486136901</v>
      </c>
      <c r="L423" s="411">
        <v>0.69216407635076005</v>
      </c>
      <c r="M423" s="411">
        <v>0.68216117863307102</v>
      </c>
      <c r="N423" s="411">
        <v>0.89390644946744602</v>
      </c>
      <c r="O423" s="411">
        <v>0.37717481234516897</v>
      </c>
      <c r="P423" s="411">
        <v>0.123645636811531</v>
      </c>
      <c r="Q423" s="411">
        <v>0.226815036594984</v>
      </c>
      <c r="R423" s="411">
        <v>0.23571622237248499</v>
      </c>
      <c r="S423" s="411">
        <v>0.28224961047602798</v>
      </c>
      <c r="T423" s="411">
        <v>0.41399019985956398</v>
      </c>
      <c r="U423" s="411">
        <v>0.57671449397818597</v>
      </c>
      <c r="V423" s="411">
        <v>0.71084608006997096</v>
      </c>
    </row>
    <row r="424" spans="1:22" x14ac:dyDescent="0.25">
      <c r="A424" s="416" t="s">
        <v>102</v>
      </c>
      <c r="B424" s="416" t="s">
        <v>5</v>
      </c>
      <c r="C424" s="416"/>
      <c r="D424" s="412" t="s">
        <v>669</v>
      </c>
    </row>
    <row r="425" spans="1:22" x14ac:dyDescent="0.25">
      <c r="A425" s="416" t="s">
        <v>102</v>
      </c>
      <c r="B425" s="416" t="s">
        <v>5</v>
      </c>
      <c r="C425" s="416"/>
      <c r="D425" s="414" t="s">
        <v>670</v>
      </c>
      <c r="E425" s="415">
        <v>7.2705548342424002E-3</v>
      </c>
      <c r="F425" s="415">
        <v>7.2705548342424002E-3</v>
      </c>
      <c r="G425" s="415">
        <v>7.2705548342424002E-3</v>
      </c>
      <c r="H425" s="415">
        <v>7.2705548342424002E-3</v>
      </c>
      <c r="I425" s="415">
        <v>7.2705548342424002E-3</v>
      </c>
      <c r="J425" s="415">
        <v>7.2705548342424002E-3</v>
      </c>
      <c r="K425" s="415">
        <v>7.2705548342424002E-3</v>
      </c>
      <c r="L425" s="415">
        <v>7.2705548342424002E-3</v>
      </c>
      <c r="M425" s="415">
        <v>7.2705548342424002E-3</v>
      </c>
      <c r="N425" s="415">
        <v>7.2705548342424002E-3</v>
      </c>
      <c r="O425" s="415">
        <v>7.2705548342424002E-3</v>
      </c>
      <c r="P425" s="415">
        <v>7.2705548342424002E-3</v>
      </c>
      <c r="Q425" s="415">
        <v>7.2705548342424002E-3</v>
      </c>
      <c r="R425" s="415">
        <v>7.2705548342424002E-3</v>
      </c>
      <c r="S425" s="415">
        <v>7.2705548342424002E-3</v>
      </c>
      <c r="T425" s="415">
        <v>7.2705548342424002E-3</v>
      </c>
      <c r="U425" s="415">
        <v>7.2705548342424002E-3</v>
      </c>
      <c r="V425" s="415">
        <v>7.2705548342424002E-3</v>
      </c>
    </row>
    <row r="426" spans="1:22" x14ac:dyDescent="0.25">
      <c r="A426" s="416" t="s">
        <v>102</v>
      </c>
      <c r="B426" s="416" t="s">
        <v>5</v>
      </c>
      <c r="C426" s="416" t="s">
        <v>424</v>
      </c>
      <c r="D426" s="413" t="s">
        <v>671</v>
      </c>
      <c r="E426" s="411">
        <v>2.6935322769107</v>
      </c>
      <c r="F426" s="411">
        <v>2.6690017065340301</v>
      </c>
      <c r="G426" s="411">
        <v>3.11362391475337</v>
      </c>
      <c r="H426" s="411">
        <v>4.2855840777361802</v>
      </c>
      <c r="I426" s="411">
        <v>5.9447770246700902</v>
      </c>
      <c r="J426" s="411">
        <v>6.2301344112707504</v>
      </c>
      <c r="K426" s="411">
        <v>3.5730221669292401</v>
      </c>
      <c r="L426" s="411">
        <v>4.2788461302094998</v>
      </c>
      <c r="M426" s="411">
        <v>3.4201353439356899</v>
      </c>
      <c r="N426" s="411">
        <v>2.9938941211808698</v>
      </c>
      <c r="O426" s="411">
        <v>3.2081597272514801</v>
      </c>
      <c r="P426" s="411">
        <v>4.4958416694006402</v>
      </c>
      <c r="Q426" s="411">
        <v>6.8252620288540804</v>
      </c>
      <c r="R426" s="411">
        <v>7.1418251083880602</v>
      </c>
      <c r="S426" s="411">
        <v>6.2263593948655203</v>
      </c>
      <c r="T426" s="411">
        <v>5.2734675527321997</v>
      </c>
      <c r="U426" s="411">
        <v>4.99684826663451</v>
      </c>
      <c r="V426" s="411">
        <v>4.63117790044942</v>
      </c>
    </row>
    <row r="427" spans="1:22" x14ac:dyDescent="0.25">
      <c r="A427" s="416" t="s">
        <v>102</v>
      </c>
      <c r="B427" s="416" t="s">
        <v>5</v>
      </c>
      <c r="C427" s="416"/>
      <c r="D427" s="412" t="s">
        <v>672</v>
      </c>
      <c r="E427" s="411">
        <v>16.270904882469299</v>
      </c>
      <c r="F427" s="411">
        <v>20.912688421437899</v>
      </c>
      <c r="G427" s="411">
        <v>25.081266205157998</v>
      </c>
      <c r="H427" s="411">
        <v>28.236717752209199</v>
      </c>
      <c r="I427" s="411">
        <v>28.508551569484901</v>
      </c>
      <c r="J427" s="411">
        <v>26.468625023805799</v>
      </c>
      <c r="K427" s="411">
        <v>15.1403187377915</v>
      </c>
      <c r="L427" s="411">
        <v>15.184923360415899</v>
      </c>
      <c r="M427" s="411">
        <v>15.3179148071528</v>
      </c>
      <c r="N427" s="411">
        <v>17.254052642295299</v>
      </c>
      <c r="O427" s="411">
        <v>18.971251017595499</v>
      </c>
      <c r="P427" s="411">
        <v>23.5922817841282</v>
      </c>
      <c r="Q427" s="411">
        <v>29.7897309981545</v>
      </c>
      <c r="R427" s="411">
        <v>27.7604617555535</v>
      </c>
      <c r="S427" s="411">
        <v>22.477378056428901</v>
      </c>
      <c r="T427" s="411">
        <v>20.157186993683698</v>
      </c>
      <c r="U427" s="411">
        <v>17.918087934446099</v>
      </c>
      <c r="V427" s="411">
        <v>16.276392041777601</v>
      </c>
    </row>
    <row r="428" spans="1:22" s="84" customFormat="1" x14ac:dyDescent="0.25">
      <c r="A428" s="613" t="s">
        <v>101</v>
      </c>
      <c r="B428" s="613" t="s">
        <v>13</v>
      </c>
      <c r="C428" s="613"/>
      <c r="D428" s="643" t="s">
        <v>688</v>
      </c>
    </row>
    <row r="429" spans="1:22" x14ac:dyDescent="0.25">
      <c r="A429" s="411" t="s">
        <v>101</v>
      </c>
      <c r="B429" s="411" t="s">
        <v>13</v>
      </c>
      <c r="C429" s="411"/>
      <c r="D429" s="412" t="s">
        <v>645</v>
      </c>
    </row>
    <row r="430" spans="1:22" x14ac:dyDescent="0.25">
      <c r="A430" s="411" t="s">
        <v>101</v>
      </c>
      <c r="B430" s="411" t="s">
        <v>13</v>
      </c>
      <c r="C430" s="411"/>
      <c r="D430" s="413" t="s">
        <v>646</v>
      </c>
      <c r="E430" s="411">
        <v>0</v>
      </c>
      <c r="F430" s="411">
        <v>0</v>
      </c>
      <c r="G430" s="411">
        <v>0</v>
      </c>
      <c r="H430" s="411">
        <v>0</v>
      </c>
      <c r="I430" s="411">
        <v>0</v>
      </c>
      <c r="J430" s="411">
        <v>0</v>
      </c>
      <c r="K430" s="411">
        <v>0</v>
      </c>
      <c r="L430" s="411">
        <v>0</v>
      </c>
      <c r="M430" s="411">
        <v>0</v>
      </c>
      <c r="N430" s="411">
        <v>0</v>
      </c>
      <c r="O430" s="411">
        <v>0</v>
      </c>
      <c r="P430" s="411">
        <v>0</v>
      </c>
      <c r="Q430" s="411">
        <v>0</v>
      </c>
      <c r="R430" s="411">
        <v>0</v>
      </c>
      <c r="S430" s="411">
        <v>0</v>
      </c>
      <c r="T430" s="411">
        <v>0</v>
      </c>
      <c r="U430" s="411">
        <v>0</v>
      </c>
      <c r="V430" s="411">
        <v>0</v>
      </c>
    </row>
    <row r="431" spans="1:22" x14ac:dyDescent="0.25">
      <c r="A431" s="411" t="s">
        <v>101</v>
      </c>
      <c r="B431" s="411" t="s">
        <v>13</v>
      </c>
      <c r="C431" s="411"/>
      <c r="D431" s="413" t="s">
        <v>647</v>
      </c>
      <c r="E431" s="411">
        <v>0</v>
      </c>
      <c r="F431" s="411">
        <v>0</v>
      </c>
      <c r="G431" s="411">
        <v>0</v>
      </c>
      <c r="H431" s="411">
        <v>0</v>
      </c>
      <c r="I431" s="411">
        <v>0</v>
      </c>
      <c r="J431" s="411">
        <v>0</v>
      </c>
      <c r="K431" s="411">
        <v>0</v>
      </c>
      <c r="L431" s="411">
        <v>0</v>
      </c>
      <c r="M431" s="411">
        <v>0</v>
      </c>
      <c r="N431" s="411">
        <v>0</v>
      </c>
      <c r="O431" s="411">
        <v>0</v>
      </c>
      <c r="P431" s="411">
        <v>0</v>
      </c>
      <c r="Q431" s="411">
        <v>0</v>
      </c>
      <c r="R431" s="411">
        <v>0</v>
      </c>
      <c r="S431" s="411">
        <v>0</v>
      </c>
      <c r="T431" s="411">
        <v>0</v>
      </c>
      <c r="U431" s="411">
        <v>0</v>
      </c>
      <c r="V431" s="411">
        <v>0</v>
      </c>
    </row>
    <row r="432" spans="1:22" x14ac:dyDescent="0.25">
      <c r="A432" s="411" t="s">
        <v>101</v>
      </c>
      <c r="B432" s="411" t="s">
        <v>13</v>
      </c>
      <c r="C432" s="411"/>
      <c r="D432" s="413" t="s">
        <v>648</v>
      </c>
      <c r="E432" s="411">
        <v>0</v>
      </c>
      <c r="F432" s="411">
        <v>0</v>
      </c>
      <c r="G432" s="411">
        <v>0</v>
      </c>
      <c r="H432" s="411">
        <v>0</v>
      </c>
      <c r="I432" s="411">
        <v>0</v>
      </c>
      <c r="J432" s="411">
        <v>0</v>
      </c>
      <c r="K432" s="411">
        <v>0</v>
      </c>
      <c r="L432" s="411">
        <v>0</v>
      </c>
      <c r="M432" s="411">
        <v>0</v>
      </c>
      <c r="N432" s="411">
        <v>0</v>
      </c>
      <c r="O432" s="411">
        <v>0</v>
      </c>
      <c r="P432" s="411">
        <v>0</v>
      </c>
      <c r="Q432" s="411">
        <v>0</v>
      </c>
      <c r="R432" s="411">
        <v>0</v>
      </c>
      <c r="S432" s="411">
        <v>0</v>
      </c>
      <c r="T432" s="411">
        <v>0</v>
      </c>
      <c r="U432" s="411">
        <v>0</v>
      </c>
      <c r="V432" s="411">
        <v>0</v>
      </c>
    </row>
    <row r="433" spans="1:22" x14ac:dyDescent="0.25">
      <c r="A433" s="411" t="s">
        <v>101</v>
      </c>
      <c r="B433" s="411" t="s">
        <v>13</v>
      </c>
      <c r="C433" s="411"/>
      <c r="D433" s="413" t="s">
        <v>649</v>
      </c>
      <c r="E433" s="411">
        <v>40</v>
      </c>
      <c r="F433" s="411">
        <v>40</v>
      </c>
      <c r="G433" s="411">
        <v>40</v>
      </c>
      <c r="H433" s="411">
        <v>40</v>
      </c>
      <c r="I433" s="411">
        <v>40</v>
      </c>
      <c r="J433" s="411">
        <v>40</v>
      </c>
      <c r="K433" s="411">
        <v>40</v>
      </c>
      <c r="L433" s="411">
        <v>40</v>
      </c>
      <c r="M433" s="411">
        <v>40</v>
      </c>
      <c r="N433" s="411">
        <v>40</v>
      </c>
      <c r="O433" s="411">
        <v>40</v>
      </c>
      <c r="P433" s="411">
        <v>40</v>
      </c>
      <c r="Q433" s="411">
        <v>40</v>
      </c>
      <c r="R433" s="411">
        <v>40</v>
      </c>
      <c r="S433" s="411">
        <v>40</v>
      </c>
      <c r="T433" s="411">
        <v>40</v>
      </c>
      <c r="U433" s="411">
        <v>40</v>
      </c>
      <c r="V433" s="411">
        <v>40</v>
      </c>
    </row>
    <row r="434" spans="1:22" x14ac:dyDescent="0.25">
      <c r="A434" s="411" t="s">
        <v>101</v>
      </c>
      <c r="B434" s="411" t="s">
        <v>13</v>
      </c>
      <c r="C434" s="411"/>
      <c r="D434" s="413" t="s">
        <v>650</v>
      </c>
      <c r="E434" s="411">
        <v>180</v>
      </c>
      <c r="F434" s="411">
        <v>180</v>
      </c>
      <c r="G434" s="411">
        <v>180</v>
      </c>
      <c r="H434" s="411">
        <v>180</v>
      </c>
      <c r="I434" s="411">
        <v>180</v>
      </c>
      <c r="J434" s="411">
        <v>180</v>
      </c>
      <c r="K434" s="411">
        <v>180</v>
      </c>
      <c r="L434" s="411">
        <v>180</v>
      </c>
      <c r="M434" s="411">
        <v>180</v>
      </c>
      <c r="N434" s="411">
        <v>180</v>
      </c>
      <c r="O434" s="411">
        <v>180</v>
      </c>
      <c r="P434" s="411">
        <v>180</v>
      </c>
      <c r="Q434" s="411">
        <v>180</v>
      </c>
      <c r="R434" s="411">
        <v>180</v>
      </c>
      <c r="S434" s="411">
        <v>180</v>
      </c>
      <c r="T434" s="411">
        <v>180</v>
      </c>
      <c r="U434" s="411">
        <v>180</v>
      </c>
      <c r="V434" s="411">
        <v>180</v>
      </c>
    </row>
    <row r="435" spans="1:22" x14ac:dyDescent="0.25">
      <c r="A435" s="411" t="s">
        <v>101</v>
      </c>
      <c r="B435" s="411" t="s">
        <v>13</v>
      </c>
      <c r="C435" s="411" t="s">
        <v>154</v>
      </c>
      <c r="D435" s="412" t="s">
        <v>651</v>
      </c>
      <c r="E435" s="411">
        <v>0</v>
      </c>
      <c r="F435" s="411">
        <v>0</v>
      </c>
      <c r="G435" s="411">
        <v>0</v>
      </c>
      <c r="H435" s="411">
        <v>0</v>
      </c>
      <c r="I435" s="411">
        <v>0</v>
      </c>
      <c r="J435" s="411">
        <v>0</v>
      </c>
      <c r="K435" s="411">
        <v>0</v>
      </c>
      <c r="L435" s="411">
        <v>0</v>
      </c>
      <c r="M435" s="411">
        <v>0</v>
      </c>
      <c r="N435" s="411">
        <v>0</v>
      </c>
      <c r="O435" s="411">
        <v>0</v>
      </c>
      <c r="P435" s="411">
        <v>0</v>
      </c>
      <c r="Q435" s="411">
        <v>0</v>
      </c>
      <c r="R435" s="411">
        <v>0</v>
      </c>
      <c r="S435" s="411">
        <v>0</v>
      </c>
      <c r="T435" s="411">
        <v>0</v>
      </c>
      <c r="U435" s="411">
        <v>0</v>
      </c>
      <c r="V435" s="411">
        <v>0</v>
      </c>
    </row>
    <row r="436" spans="1:22" x14ac:dyDescent="0.25">
      <c r="A436" s="411" t="s">
        <v>101</v>
      </c>
      <c r="B436" s="411" t="s">
        <v>13</v>
      </c>
      <c r="C436" s="411"/>
      <c r="D436" s="412" t="s">
        <v>652</v>
      </c>
    </row>
    <row r="437" spans="1:22" x14ac:dyDescent="0.25">
      <c r="A437" s="411" t="s">
        <v>101</v>
      </c>
      <c r="B437" s="411" t="s">
        <v>13</v>
      </c>
      <c r="C437" s="411"/>
      <c r="D437" s="413" t="s">
        <v>653</v>
      </c>
      <c r="E437" s="411">
        <v>0</v>
      </c>
      <c r="F437" s="411">
        <v>0</v>
      </c>
      <c r="G437" s="411">
        <v>0</v>
      </c>
      <c r="H437" s="411">
        <v>0</v>
      </c>
      <c r="I437" s="411">
        <v>0</v>
      </c>
      <c r="J437" s="411">
        <v>0</v>
      </c>
      <c r="K437" s="411">
        <v>0</v>
      </c>
      <c r="L437" s="411">
        <v>0</v>
      </c>
      <c r="M437" s="411">
        <v>0</v>
      </c>
      <c r="N437" s="411">
        <v>0</v>
      </c>
      <c r="O437" s="411">
        <v>0</v>
      </c>
      <c r="P437" s="411">
        <v>0</v>
      </c>
      <c r="Q437" s="411">
        <v>0</v>
      </c>
      <c r="R437" s="411">
        <v>0</v>
      </c>
      <c r="S437" s="411">
        <v>0</v>
      </c>
      <c r="T437" s="411">
        <v>0</v>
      </c>
      <c r="U437" s="411">
        <v>0</v>
      </c>
      <c r="V437" s="411">
        <v>0</v>
      </c>
    </row>
    <row r="438" spans="1:22" x14ac:dyDescent="0.25">
      <c r="A438" s="411" t="s">
        <v>101</v>
      </c>
      <c r="B438" s="411" t="s">
        <v>13</v>
      </c>
      <c r="C438" s="411"/>
      <c r="D438" s="413" t="s">
        <v>654</v>
      </c>
      <c r="E438" s="411">
        <v>0</v>
      </c>
      <c r="F438" s="411">
        <v>0</v>
      </c>
      <c r="G438" s="411">
        <v>0</v>
      </c>
      <c r="H438" s="411">
        <v>0</v>
      </c>
      <c r="I438" s="411">
        <v>0</v>
      </c>
      <c r="J438" s="411">
        <v>0</v>
      </c>
      <c r="K438" s="411">
        <v>0</v>
      </c>
      <c r="L438" s="411">
        <v>0</v>
      </c>
      <c r="M438" s="411">
        <v>0</v>
      </c>
      <c r="N438" s="411">
        <v>0</v>
      </c>
      <c r="O438" s="411">
        <v>0</v>
      </c>
      <c r="P438" s="411">
        <v>0</v>
      </c>
      <c r="Q438" s="411">
        <v>0</v>
      </c>
      <c r="R438" s="411">
        <v>0</v>
      </c>
      <c r="S438" s="411">
        <v>0</v>
      </c>
      <c r="T438" s="411">
        <v>0</v>
      </c>
      <c r="U438" s="411">
        <v>0</v>
      </c>
      <c r="V438" s="411">
        <v>0</v>
      </c>
    </row>
    <row r="439" spans="1:22" x14ac:dyDescent="0.25">
      <c r="A439" s="411" t="s">
        <v>101</v>
      </c>
      <c r="B439" s="411" t="s">
        <v>13</v>
      </c>
      <c r="C439" s="411"/>
      <c r="D439" s="414" t="s">
        <v>655</v>
      </c>
      <c r="E439" s="415">
        <v>0</v>
      </c>
      <c r="F439" s="415">
        <v>0</v>
      </c>
      <c r="G439" s="415">
        <v>0</v>
      </c>
      <c r="H439" s="415">
        <v>0</v>
      </c>
      <c r="I439" s="415">
        <v>0</v>
      </c>
      <c r="J439" s="415">
        <v>0</v>
      </c>
      <c r="K439" s="415">
        <v>0</v>
      </c>
      <c r="L439" s="415">
        <v>0</v>
      </c>
      <c r="M439" s="415">
        <v>0</v>
      </c>
      <c r="N439" s="415">
        <v>0</v>
      </c>
      <c r="O439" s="415">
        <v>0</v>
      </c>
      <c r="P439" s="415">
        <v>0</v>
      </c>
      <c r="Q439" s="415">
        <v>0</v>
      </c>
      <c r="R439" s="415">
        <v>0</v>
      </c>
      <c r="S439" s="415">
        <v>0</v>
      </c>
      <c r="T439" s="415">
        <v>0</v>
      </c>
      <c r="U439" s="415">
        <v>0</v>
      </c>
      <c r="V439" s="415">
        <v>0</v>
      </c>
    </row>
    <row r="440" spans="1:22" x14ac:dyDescent="0.25">
      <c r="A440" s="411" t="s">
        <v>101</v>
      </c>
      <c r="B440" s="411" t="s">
        <v>13</v>
      </c>
      <c r="C440" s="411"/>
      <c r="D440" s="414" t="s">
        <v>656</v>
      </c>
      <c r="E440" s="415">
        <v>2.1503999999999999</v>
      </c>
      <c r="F440" s="415">
        <v>2.1503999999999999</v>
      </c>
      <c r="G440" s="415">
        <v>2.1503999999999999</v>
      </c>
      <c r="H440" s="415">
        <v>2.1503999999999999</v>
      </c>
      <c r="I440" s="415">
        <v>2.1503999999999999</v>
      </c>
      <c r="J440" s="415">
        <v>2.1503999999999999</v>
      </c>
      <c r="K440" s="415">
        <v>2.1503999999999999</v>
      </c>
      <c r="L440" s="415">
        <v>2.1503999999999999</v>
      </c>
      <c r="M440" s="415">
        <v>2.1503999999999999</v>
      </c>
      <c r="N440" s="415">
        <v>2.1503999999999999</v>
      </c>
      <c r="O440" s="415">
        <v>2.1503999999999999</v>
      </c>
      <c r="P440" s="415">
        <v>2.1503999999999999</v>
      </c>
      <c r="Q440" s="415">
        <v>2.1503999999999999</v>
      </c>
      <c r="R440" s="415">
        <v>2.1503999999999999</v>
      </c>
      <c r="S440" s="415">
        <v>2.1503999999999999</v>
      </c>
      <c r="T440" s="415">
        <v>2.1503999999999999</v>
      </c>
      <c r="U440" s="415">
        <v>2.1503999999999999</v>
      </c>
      <c r="V440" s="415">
        <v>2.1503999999999999</v>
      </c>
    </row>
    <row r="441" spans="1:22" x14ac:dyDescent="0.25">
      <c r="A441" s="411" t="s">
        <v>101</v>
      </c>
      <c r="B441" s="411" t="s">
        <v>13</v>
      </c>
      <c r="C441" s="411"/>
      <c r="D441" s="414" t="s">
        <v>657</v>
      </c>
      <c r="E441" s="415">
        <v>2.1503999999999999</v>
      </c>
      <c r="F441" s="415">
        <v>2.1503999999999999</v>
      </c>
      <c r="G441" s="415">
        <v>2.1503999999999999</v>
      </c>
      <c r="H441" s="415">
        <v>2.1503999999999999</v>
      </c>
      <c r="I441" s="415">
        <v>2.1503999999999999</v>
      </c>
      <c r="J441" s="415">
        <v>2.1503999999999999</v>
      </c>
      <c r="K441" s="415">
        <v>2.1503999999999999</v>
      </c>
      <c r="L441" s="415">
        <v>2.1503999999999999</v>
      </c>
      <c r="M441" s="415">
        <v>2.1503999999999999</v>
      </c>
      <c r="N441" s="415">
        <v>2.1503999999999999</v>
      </c>
      <c r="O441" s="415">
        <v>2.1503999999999999</v>
      </c>
      <c r="P441" s="415">
        <v>2.1503999999999999</v>
      </c>
      <c r="Q441" s="415">
        <v>2.1503999999999999</v>
      </c>
      <c r="R441" s="415">
        <v>2.1503999999999999</v>
      </c>
      <c r="S441" s="415">
        <v>2.1503999999999999</v>
      </c>
      <c r="T441" s="415">
        <v>2.1503999999999999</v>
      </c>
      <c r="U441" s="415">
        <v>2.1503999999999999</v>
      </c>
      <c r="V441" s="415">
        <v>2.1503999999999999</v>
      </c>
    </row>
    <row r="442" spans="1:22" x14ac:dyDescent="0.25">
      <c r="A442" s="411" t="s">
        <v>101</v>
      </c>
      <c r="B442" s="411" t="s">
        <v>13</v>
      </c>
      <c r="C442" s="411"/>
      <c r="D442" s="414" t="s">
        <v>658</v>
      </c>
      <c r="E442" s="415">
        <v>1.6504000000000001</v>
      </c>
      <c r="F442" s="415">
        <v>1.6504000000000001</v>
      </c>
      <c r="G442" s="415">
        <v>2.1503999999999999</v>
      </c>
      <c r="H442" s="415">
        <v>2.1503999999999999</v>
      </c>
      <c r="I442" s="415">
        <v>2.1503999999999999</v>
      </c>
      <c r="J442" s="415">
        <v>2.1503999999999999</v>
      </c>
      <c r="K442" s="415">
        <v>1.6504000000000001</v>
      </c>
      <c r="L442" s="415">
        <v>1.6504000000000001</v>
      </c>
      <c r="M442" s="415">
        <v>1.6504000000000001</v>
      </c>
      <c r="N442" s="415">
        <v>1.6504000000000001</v>
      </c>
      <c r="O442" s="415">
        <v>2.1503999999999999</v>
      </c>
      <c r="P442" s="415">
        <v>2.1503999999999999</v>
      </c>
      <c r="Q442" s="415">
        <v>2.1503999999999999</v>
      </c>
      <c r="R442" s="415">
        <v>2.1503999999999999</v>
      </c>
      <c r="S442" s="415">
        <v>2.1503999999999999</v>
      </c>
      <c r="T442" s="415">
        <v>1.6504000000000001</v>
      </c>
      <c r="U442" s="415">
        <v>1.6504000000000001</v>
      </c>
      <c r="V442" s="415">
        <v>1.6504000000000001</v>
      </c>
    </row>
    <row r="443" spans="1:22" x14ac:dyDescent="0.25">
      <c r="A443" s="411" t="s">
        <v>101</v>
      </c>
      <c r="B443" s="411" t="s">
        <v>13</v>
      </c>
      <c r="C443" s="411" t="s">
        <v>436</v>
      </c>
      <c r="D443" s="412" t="s">
        <v>659</v>
      </c>
      <c r="E443" s="411">
        <v>0</v>
      </c>
      <c r="F443" s="411">
        <v>0</v>
      </c>
      <c r="G443" s="411">
        <v>0</v>
      </c>
      <c r="H443" s="411">
        <v>0</v>
      </c>
      <c r="I443" s="411">
        <v>0</v>
      </c>
      <c r="J443" s="411">
        <v>0</v>
      </c>
      <c r="K443" s="411">
        <v>0</v>
      </c>
      <c r="L443" s="411">
        <v>0</v>
      </c>
      <c r="M443" s="411">
        <v>0</v>
      </c>
      <c r="N443" s="411">
        <v>0</v>
      </c>
      <c r="O443" s="411">
        <v>0</v>
      </c>
      <c r="P443" s="411">
        <v>0</v>
      </c>
      <c r="Q443" s="411">
        <v>0</v>
      </c>
      <c r="R443" s="411">
        <v>0</v>
      </c>
      <c r="S443" s="411">
        <v>0</v>
      </c>
      <c r="T443" s="411">
        <v>0</v>
      </c>
      <c r="U443" s="411">
        <v>0</v>
      </c>
      <c r="V443" s="411">
        <v>0</v>
      </c>
    </row>
    <row r="444" spans="1:22" x14ac:dyDescent="0.25">
      <c r="A444" s="411" t="s">
        <v>101</v>
      </c>
      <c r="B444" s="411" t="s">
        <v>13</v>
      </c>
      <c r="C444" s="411"/>
      <c r="D444" s="412" t="s">
        <v>660</v>
      </c>
    </row>
    <row r="445" spans="1:22" x14ac:dyDescent="0.25">
      <c r="A445" s="411" t="s">
        <v>101</v>
      </c>
      <c r="B445" s="411" t="s">
        <v>13</v>
      </c>
      <c r="C445" s="411"/>
      <c r="D445" s="412" t="s">
        <v>661</v>
      </c>
    </row>
    <row r="446" spans="1:22" x14ac:dyDescent="0.25">
      <c r="A446" s="411" t="s">
        <v>101</v>
      </c>
      <c r="B446" s="411" t="s">
        <v>13</v>
      </c>
      <c r="C446" s="411"/>
      <c r="D446" s="412" t="s">
        <v>662</v>
      </c>
      <c r="E446" s="411">
        <v>0</v>
      </c>
      <c r="F446" s="411">
        <v>0</v>
      </c>
      <c r="G446" s="411">
        <v>0</v>
      </c>
      <c r="H446" s="411">
        <v>0</v>
      </c>
      <c r="I446" s="411">
        <v>0</v>
      </c>
      <c r="J446" s="411">
        <v>0</v>
      </c>
      <c r="K446" s="411">
        <v>0</v>
      </c>
      <c r="L446" s="411">
        <v>0</v>
      </c>
      <c r="M446" s="411">
        <v>0</v>
      </c>
      <c r="N446" s="411">
        <v>0</v>
      </c>
      <c r="O446" s="411">
        <v>0</v>
      </c>
      <c r="P446" s="411">
        <v>0</v>
      </c>
      <c r="Q446" s="411">
        <v>0</v>
      </c>
      <c r="R446" s="411">
        <v>0</v>
      </c>
      <c r="S446" s="411">
        <v>0</v>
      </c>
      <c r="T446" s="411">
        <v>0</v>
      </c>
      <c r="U446" s="411">
        <v>0</v>
      </c>
      <c r="V446" s="411">
        <v>0</v>
      </c>
    </row>
    <row r="447" spans="1:22" x14ac:dyDescent="0.25">
      <c r="A447" s="411" t="s">
        <v>101</v>
      </c>
      <c r="B447" s="411" t="s">
        <v>13</v>
      </c>
      <c r="C447" s="411"/>
      <c r="D447" s="412" t="s">
        <v>663</v>
      </c>
    </row>
    <row r="448" spans="1:22" x14ac:dyDescent="0.25">
      <c r="A448" s="411" t="s">
        <v>101</v>
      </c>
      <c r="B448" s="411" t="s">
        <v>13</v>
      </c>
      <c r="C448" s="411"/>
      <c r="D448" s="414" t="s">
        <v>664</v>
      </c>
      <c r="E448" s="415">
        <v>3.54132328535503</v>
      </c>
      <c r="F448" s="415">
        <v>4.0825536529198896</v>
      </c>
      <c r="G448" s="415">
        <v>4.6151370530302804</v>
      </c>
      <c r="H448" s="415">
        <v>4.7204926546137003</v>
      </c>
      <c r="I448" s="415">
        <v>4.2816079006073897</v>
      </c>
      <c r="J448" s="415">
        <v>4.61774840312499</v>
      </c>
      <c r="K448" s="415">
        <v>3.6370825733754901</v>
      </c>
      <c r="L448" s="415">
        <v>3.1998593487156</v>
      </c>
      <c r="M448" s="415">
        <v>3.4441400635944199</v>
      </c>
      <c r="N448" s="415">
        <v>2.6697967759149801</v>
      </c>
      <c r="O448" s="415">
        <v>3.6621728781104101</v>
      </c>
      <c r="P448" s="415">
        <v>3.9547219031793199</v>
      </c>
      <c r="Q448" s="415">
        <v>4.3060793499123999</v>
      </c>
      <c r="R448" s="415">
        <v>4.66270835833049</v>
      </c>
      <c r="S448" s="415">
        <v>5.2056863414265502</v>
      </c>
      <c r="T448" s="415">
        <v>5.4531502607765896</v>
      </c>
      <c r="U448" s="415">
        <v>5.0764131270513699</v>
      </c>
      <c r="V448" s="415">
        <v>4.0447960531742</v>
      </c>
    </row>
    <row r="449" spans="1:22" x14ac:dyDescent="0.25">
      <c r="A449" s="411" t="s">
        <v>101</v>
      </c>
      <c r="B449" s="411" t="s">
        <v>13</v>
      </c>
      <c r="C449" s="411" t="s">
        <v>178</v>
      </c>
      <c r="D449" s="413" t="s">
        <v>665</v>
      </c>
      <c r="E449" s="411">
        <v>0</v>
      </c>
      <c r="F449" s="411">
        <v>0</v>
      </c>
      <c r="G449" s="411">
        <v>0</v>
      </c>
      <c r="H449" s="411">
        <v>0</v>
      </c>
      <c r="I449" s="411">
        <v>0</v>
      </c>
      <c r="J449" s="411">
        <v>0</v>
      </c>
      <c r="K449" s="411">
        <v>0</v>
      </c>
      <c r="L449" s="411">
        <v>0</v>
      </c>
      <c r="M449" s="411">
        <v>0</v>
      </c>
      <c r="N449" s="411">
        <v>0</v>
      </c>
      <c r="O449" s="411">
        <v>0</v>
      </c>
      <c r="P449" s="411">
        <v>0</v>
      </c>
      <c r="Q449" s="411">
        <v>0</v>
      </c>
      <c r="R449" s="411">
        <v>0</v>
      </c>
      <c r="S449" s="411">
        <v>0</v>
      </c>
      <c r="T449" s="411">
        <v>0</v>
      </c>
      <c r="U449" s="411">
        <v>0</v>
      </c>
      <c r="V449" s="411">
        <v>0</v>
      </c>
    </row>
    <row r="450" spans="1:22" x14ac:dyDescent="0.25">
      <c r="A450" s="411" t="s">
        <v>101</v>
      </c>
      <c r="B450" s="411" t="s">
        <v>13</v>
      </c>
      <c r="C450" s="411"/>
      <c r="D450" s="412" t="s">
        <v>666</v>
      </c>
    </row>
    <row r="451" spans="1:22" x14ac:dyDescent="0.25">
      <c r="A451" s="411" t="s">
        <v>101</v>
      </c>
      <c r="B451" s="411" t="s">
        <v>13</v>
      </c>
      <c r="C451" s="411"/>
      <c r="D451" s="414" t="s">
        <v>667</v>
      </c>
      <c r="E451" s="415">
        <v>0.34906843462946002</v>
      </c>
      <c r="F451" s="415">
        <v>0.16939007523933</v>
      </c>
      <c r="G451" s="415">
        <v>9.4024398016510996E-2</v>
      </c>
      <c r="H451" s="415">
        <v>7.9005885786712304E-2</v>
      </c>
      <c r="I451" s="415">
        <v>4.2818241030573301E-2</v>
      </c>
      <c r="J451" s="415">
        <v>5.3348528484577801E-2</v>
      </c>
      <c r="K451" s="415">
        <v>0.24690512534735301</v>
      </c>
      <c r="L451" s="415">
        <v>0.286805863570613</v>
      </c>
      <c r="M451" s="415">
        <v>0.2714755224323</v>
      </c>
      <c r="N451" s="415">
        <v>0.23977615362243901</v>
      </c>
      <c r="O451" s="415">
        <v>0.112823983088882</v>
      </c>
      <c r="P451" s="415">
        <v>3.1676324500992899E-2</v>
      </c>
      <c r="Q451" s="415">
        <v>5.1767532114618299E-2</v>
      </c>
      <c r="R451" s="415">
        <v>6.4560825100963504E-2</v>
      </c>
      <c r="S451" s="415">
        <v>0.10990553607190399</v>
      </c>
      <c r="T451" s="415">
        <v>0.18637651503338701</v>
      </c>
      <c r="U451" s="415">
        <v>0.28860955010716799</v>
      </c>
      <c r="V451" s="415">
        <v>0.33287319112658798</v>
      </c>
    </row>
    <row r="452" spans="1:22" x14ac:dyDescent="0.25">
      <c r="A452" s="411" t="s">
        <v>101</v>
      </c>
      <c r="B452" s="411" t="s">
        <v>13</v>
      </c>
      <c r="C452" s="411" t="s">
        <v>180</v>
      </c>
      <c r="D452" s="413" t="s">
        <v>668</v>
      </c>
      <c r="E452" s="411">
        <v>0</v>
      </c>
      <c r="F452" s="411">
        <v>0</v>
      </c>
      <c r="G452" s="411">
        <v>0</v>
      </c>
      <c r="H452" s="411">
        <v>0</v>
      </c>
      <c r="I452" s="411">
        <v>0</v>
      </c>
      <c r="J452" s="411">
        <v>0</v>
      </c>
      <c r="K452" s="411">
        <v>0</v>
      </c>
      <c r="L452" s="411">
        <v>0</v>
      </c>
      <c r="M452" s="411">
        <v>0</v>
      </c>
      <c r="N452" s="411">
        <v>0</v>
      </c>
      <c r="O452" s="411">
        <v>0</v>
      </c>
      <c r="P452" s="411">
        <v>0</v>
      </c>
      <c r="Q452" s="411">
        <v>0</v>
      </c>
      <c r="R452" s="411">
        <v>0</v>
      </c>
      <c r="S452" s="411">
        <v>0</v>
      </c>
      <c r="T452" s="411">
        <v>0</v>
      </c>
      <c r="U452" s="411">
        <v>0</v>
      </c>
      <c r="V452" s="411">
        <v>0</v>
      </c>
    </row>
    <row r="453" spans="1:22" x14ac:dyDescent="0.25">
      <c r="A453" s="411" t="s">
        <v>101</v>
      </c>
      <c r="B453" s="411" t="s">
        <v>13</v>
      </c>
      <c r="C453" s="411"/>
      <c r="D453" s="412" t="s">
        <v>669</v>
      </c>
    </row>
    <row r="454" spans="1:22" x14ac:dyDescent="0.25">
      <c r="A454" s="411" t="s">
        <v>101</v>
      </c>
      <c r="B454" s="411" t="s">
        <v>13</v>
      </c>
      <c r="C454" s="411"/>
      <c r="D454" s="414" t="s">
        <v>670</v>
      </c>
      <c r="E454" s="415">
        <v>0.289271550125482</v>
      </c>
      <c r="F454" s="415">
        <v>0.289271550125482</v>
      </c>
      <c r="G454" s="415">
        <v>0.289271550125482</v>
      </c>
      <c r="H454" s="415">
        <v>0.289271550125482</v>
      </c>
      <c r="I454" s="415">
        <v>0.289271550125482</v>
      </c>
      <c r="J454" s="415">
        <v>0.289271550125482</v>
      </c>
      <c r="K454" s="415">
        <v>0.289271550125482</v>
      </c>
      <c r="L454" s="415">
        <v>0.289271550125482</v>
      </c>
      <c r="M454" s="415">
        <v>0.289271550125482</v>
      </c>
      <c r="N454" s="415">
        <v>0.289271550125482</v>
      </c>
      <c r="O454" s="415">
        <v>0.289271550125482</v>
      </c>
      <c r="P454" s="415">
        <v>0.289271550125482</v>
      </c>
      <c r="Q454" s="415">
        <v>0.289271550125482</v>
      </c>
      <c r="R454" s="415">
        <v>0.289271550125482</v>
      </c>
      <c r="S454" s="415">
        <v>0.289271550125482</v>
      </c>
      <c r="T454" s="415">
        <v>0.289271550125482</v>
      </c>
      <c r="U454" s="415">
        <v>0.289271550125482</v>
      </c>
      <c r="V454" s="415">
        <v>0.289271550125482</v>
      </c>
    </row>
    <row r="455" spans="1:22" x14ac:dyDescent="0.25">
      <c r="A455" s="411" t="s">
        <v>101</v>
      </c>
      <c r="B455" s="411" t="s">
        <v>13</v>
      </c>
      <c r="C455" s="411" t="s">
        <v>424</v>
      </c>
      <c r="D455" s="413" t="s">
        <v>671</v>
      </c>
      <c r="E455" s="411">
        <v>0</v>
      </c>
      <c r="F455" s="411">
        <v>0</v>
      </c>
      <c r="G455" s="411">
        <v>0</v>
      </c>
      <c r="H455" s="411">
        <v>0</v>
      </c>
      <c r="I455" s="411">
        <v>0</v>
      </c>
      <c r="J455" s="411">
        <v>0</v>
      </c>
      <c r="K455" s="411">
        <v>0</v>
      </c>
      <c r="L455" s="411">
        <v>0</v>
      </c>
      <c r="M455" s="411">
        <v>0</v>
      </c>
      <c r="N455" s="411">
        <v>0</v>
      </c>
      <c r="O455" s="411">
        <v>0</v>
      </c>
      <c r="P455" s="411">
        <v>0</v>
      </c>
      <c r="Q455" s="411">
        <v>0</v>
      </c>
      <c r="R455" s="411">
        <v>0</v>
      </c>
      <c r="S455" s="411">
        <v>0</v>
      </c>
      <c r="T455" s="411">
        <v>0</v>
      </c>
      <c r="U455" s="411">
        <v>0</v>
      </c>
      <c r="V455" s="411">
        <v>0</v>
      </c>
    </row>
    <row r="456" spans="1:22" x14ac:dyDescent="0.25">
      <c r="A456" s="411" t="s">
        <v>101</v>
      </c>
      <c r="B456" s="411" t="s">
        <v>13</v>
      </c>
      <c r="C456" s="411"/>
      <c r="D456" s="412" t="s">
        <v>672</v>
      </c>
      <c r="E456" s="411">
        <v>0</v>
      </c>
      <c r="F456" s="411">
        <v>0</v>
      </c>
      <c r="G456" s="411">
        <v>0</v>
      </c>
      <c r="H456" s="411">
        <v>0</v>
      </c>
      <c r="I456" s="411">
        <v>0</v>
      </c>
      <c r="J456" s="411">
        <v>0</v>
      </c>
      <c r="K456" s="411">
        <v>0</v>
      </c>
      <c r="L456" s="411">
        <v>0</v>
      </c>
      <c r="M456" s="411">
        <v>0</v>
      </c>
      <c r="N456" s="411">
        <v>0</v>
      </c>
      <c r="O456" s="411">
        <v>0</v>
      </c>
      <c r="P456" s="411">
        <v>0</v>
      </c>
      <c r="Q456" s="411">
        <v>0</v>
      </c>
      <c r="R456" s="411">
        <v>0</v>
      </c>
      <c r="S456" s="411">
        <v>0</v>
      </c>
      <c r="T456" s="411">
        <v>0</v>
      </c>
      <c r="U456" s="411">
        <v>0</v>
      </c>
      <c r="V456" s="411">
        <v>0</v>
      </c>
    </row>
    <row r="457" spans="1:22" s="84" customFormat="1" x14ac:dyDescent="0.25">
      <c r="A457" s="613" t="s">
        <v>534</v>
      </c>
      <c r="B457" s="613" t="s">
        <v>41</v>
      </c>
      <c r="C457" s="613"/>
      <c r="D457" s="643" t="s">
        <v>689</v>
      </c>
    </row>
    <row r="458" spans="1:22" x14ac:dyDescent="0.25">
      <c r="A458" s="416" t="s">
        <v>534</v>
      </c>
      <c r="B458" s="416" t="s">
        <v>41</v>
      </c>
      <c r="C458" s="416"/>
      <c r="D458" s="412" t="s">
        <v>645</v>
      </c>
    </row>
    <row r="459" spans="1:22" x14ac:dyDescent="0.25">
      <c r="A459" s="416" t="s">
        <v>534</v>
      </c>
      <c r="B459" s="416" t="s">
        <v>41</v>
      </c>
      <c r="C459" s="416"/>
      <c r="D459" s="413" t="s">
        <v>646</v>
      </c>
      <c r="E459" s="411">
        <v>3</v>
      </c>
      <c r="F459" s="411">
        <v>3</v>
      </c>
      <c r="G459" s="411">
        <v>3</v>
      </c>
      <c r="H459" s="411">
        <v>3</v>
      </c>
      <c r="I459" s="411">
        <v>3</v>
      </c>
      <c r="J459" s="411">
        <v>3</v>
      </c>
      <c r="K459" s="411">
        <v>3</v>
      </c>
      <c r="L459" s="411">
        <v>3</v>
      </c>
      <c r="M459" s="411">
        <v>3</v>
      </c>
      <c r="N459" s="411">
        <v>3</v>
      </c>
      <c r="O459" s="411">
        <v>3</v>
      </c>
      <c r="P459" s="411">
        <v>3</v>
      </c>
      <c r="Q459" s="411">
        <v>3</v>
      </c>
      <c r="R459" s="411">
        <v>3</v>
      </c>
      <c r="S459" s="411">
        <v>3</v>
      </c>
      <c r="T459" s="411">
        <v>3</v>
      </c>
      <c r="U459" s="411">
        <v>3</v>
      </c>
      <c r="V459" s="411">
        <v>3</v>
      </c>
    </row>
    <row r="460" spans="1:22" x14ac:dyDescent="0.25">
      <c r="A460" s="416" t="s">
        <v>534</v>
      </c>
      <c r="B460" s="416" t="s">
        <v>41</v>
      </c>
      <c r="C460" s="416"/>
      <c r="D460" s="413" t="s">
        <v>647</v>
      </c>
      <c r="E460" s="411">
        <v>0</v>
      </c>
      <c r="F460" s="411">
        <v>0</v>
      </c>
      <c r="G460" s="411">
        <v>0</v>
      </c>
      <c r="H460" s="411">
        <v>0</v>
      </c>
      <c r="I460" s="411">
        <v>0</v>
      </c>
      <c r="J460" s="411">
        <v>0</v>
      </c>
      <c r="K460" s="411">
        <v>0</v>
      </c>
      <c r="L460" s="411">
        <v>0</v>
      </c>
      <c r="M460" s="411">
        <v>0</v>
      </c>
      <c r="N460" s="411">
        <v>0</v>
      </c>
      <c r="O460" s="411">
        <v>0</v>
      </c>
      <c r="P460" s="411">
        <v>0</v>
      </c>
      <c r="Q460" s="411">
        <v>0</v>
      </c>
      <c r="R460" s="411">
        <v>0</v>
      </c>
      <c r="S460" s="411">
        <v>0</v>
      </c>
      <c r="T460" s="411">
        <v>0</v>
      </c>
      <c r="U460" s="411">
        <v>0</v>
      </c>
      <c r="V460" s="411">
        <v>0</v>
      </c>
    </row>
    <row r="461" spans="1:22" x14ac:dyDescent="0.25">
      <c r="A461" s="416" t="s">
        <v>534</v>
      </c>
      <c r="B461" s="416" t="s">
        <v>41</v>
      </c>
      <c r="C461" s="416"/>
      <c r="D461" s="413" t="s">
        <v>648</v>
      </c>
      <c r="E461" s="411">
        <v>3</v>
      </c>
      <c r="F461" s="411">
        <v>3</v>
      </c>
      <c r="G461" s="411">
        <v>3</v>
      </c>
      <c r="H461" s="411">
        <v>3</v>
      </c>
      <c r="I461" s="411">
        <v>3</v>
      </c>
      <c r="J461" s="411">
        <v>3</v>
      </c>
      <c r="K461" s="411">
        <v>3</v>
      </c>
      <c r="L461" s="411">
        <v>3</v>
      </c>
      <c r="M461" s="411">
        <v>3</v>
      </c>
      <c r="N461" s="411">
        <v>3</v>
      </c>
      <c r="O461" s="411">
        <v>3</v>
      </c>
      <c r="P461" s="411">
        <v>3</v>
      </c>
      <c r="Q461" s="411">
        <v>3</v>
      </c>
      <c r="R461" s="411">
        <v>3</v>
      </c>
      <c r="S461" s="411">
        <v>3</v>
      </c>
      <c r="T461" s="411">
        <v>3</v>
      </c>
      <c r="U461" s="411">
        <v>3</v>
      </c>
      <c r="V461" s="411">
        <v>3</v>
      </c>
    </row>
    <row r="462" spans="1:22" x14ac:dyDescent="0.25">
      <c r="A462" s="416" t="s">
        <v>534</v>
      </c>
      <c r="B462" s="416" t="s">
        <v>41</v>
      </c>
      <c r="C462" s="416"/>
      <c r="D462" s="413" t="s">
        <v>649</v>
      </c>
      <c r="E462" s="411">
        <v>0</v>
      </c>
      <c r="F462" s="411">
        <v>0</v>
      </c>
      <c r="G462" s="411">
        <v>0</v>
      </c>
      <c r="H462" s="411">
        <v>0</v>
      </c>
      <c r="I462" s="411">
        <v>0</v>
      </c>
      <c r="J462" s="411">
        <v>0</v>
      </c>
      <c r="K462" s="411">
        <v>0</v>
      </c>
      <c r="L462" s="411">
        <v>0</v>
      </c>
      <c r="M462" s="411">
        <v>0</v>
      </c>
      <c r="N462" s="411">
        <v>0</v>
      </c>
      <c r="O462" s="411">
        <v>0</v>
      </c>
      <c r="P462" s="411">
        <v>0</v>
      </c>
      <c r="Q462" s="411">
        <v>0</v>
      </c>
      <c r="R462" s="411">
        <v>0</v>
      </c>
      <c r="S462" s="411">
        <v>0</v>
      </c>
      <c r="T462" s="411">
        <v>0</v>
      </c>
      <c r="U462" s="411">
        <v>0</v>
      </c>
      <c r="V462" s="411">
        <v>0</v>
      </c>
    </row>
    <row r="463" spans="1:22" x14ac:dyDescent="0.25">
      <c r="A463" s="416" t="s">
        <v>534</v>
      </c>
      <c r="B463" s="416" t="s">
        <v>41</v>
      </c>
      <c r="C463" s="416"/>
      <c r="D463" s="413" t="s">
        <v>650</v>
      </c>
      <c r="E463" s="411">
        <v>0</v>
      </c>
      <c r="F463" s="411">
        <v>0</v>
      </c>
      <c r="G463" s="411">
        <v>0</v>
      </c>
      <c r="H463" s="411">
        <v>0</v>
      </c>
      <c r="I463" s="411">
        <v>0</v>
      </c>
      <c r="J463" s="411">
        <v>0</v>
      </c>
      <c r="K463" s="411">
        <v>0</v>
      </c>
      <c r="L463" s="411">
        <v>0</v>
      </c>
      <c r="M463" s="411">
        <v>0</v>
      </c>
      <c r="N463" s="411">
        <v>0</v>
      </c>
      <c r="O463" s="411">
        <v>0</v>
      </c>
      <c r="P463" s="411">
        <v>0</v>
      </c>
      <c r="Q463" s="411">
        <v>0</v>
      </c>
      <c r="R463" s="411">
        <v>0</v>
      </c>
      <c r="S463" s="411">
        <v>0</v>
      </c>
      <c r="T463" s="411">
        <v>0</v>
      </c>
      <c r="U463" s="411">
        <v>0</v>
      </c>
      <c r="V463" s="411">
        <v>0</v>
      </c>
    </row>
    <row r="464" spans="1:22" x14ac:dyDescent="0.25">
      <c r="A464" s="416" t="s">
        <v>534</v>
      </c>
      <c r="B464" s="416" t="s">
        <v>41</v>
      </c>
      <c r="C464" s="416" t="s">
        <v>154</v>
      </c>
      <c r="D464" s="412" t="s">
        <v>651</v>
      </c>
      <c r="E464" s="411">
        <v>0</v>
      </c>
      <c r="F464" s="411">
        <v>0</v>
      </c>
      <c r="G464" s="411">
        <v>0</v>
      </c>
      <c r="H464" s="411">
        <v>0</v>
      </c>
      <c r="I464" s="411">
        <v>0</v>
      </c>
      <c r="J464" s="411">
        <v>0</v>
      </c>
      <c r="K464" s="411">
        <v>0</v>
      </c>
      <c r="L464" s="411">
        <v>0</v>
      </c>
      <c r="M464" s="411">
        <v>0</v>
      </c>
      <c r="N464" s="411">
        <v>0</v>
      </c>
      <c r="O464" s="411">
        <v>0</v>
      </c>
      <c r="P464" s="411">
        <v>0</v>
      </c>
      <c r="Q464" s="411">
        <v>0</v>
      </c>
      <c r="R464" s="411">
        <v>0</v>
      </c>
      <c r="S464" s="411">
        <v>0</v>
      </c>
      <c r="T464" s="411">
        <v>0</v>
      </c>
      <c r="U464" s="411">
        <v>0</v>
      </c>
      <c r="V464" s="411">
        <v>0</v>
      </c>
    </row>
    <row r="465" spans="1:22" x14ac:dyDescent="0.25">
      <c r="A465" s="416" t="s">
        <v>534</v>
      </c>
      <c r="B465" s="416" t="s">
        <v>41</v>
      </c>
      <c r="C465" s="416"/>
      <c r="D465" s="412" t="s">
        <v>652</v>
      </c>
    </row>
    <row r="466" spans="1:22" x14ac:dyDescent="0.25">
      <c r="A466" s="416" t="s">
        <v>534</v>
      </c>
      <c r="B466" s="416" t="s">
        <v>41</v>
      </c>
      <c r="C466" s="416"/>
      <c r="D466" s="413" t="s">
        <v>653</v>
      </c>
      <c r="E466" s="411">
        <v>28415.0705099999</v>
      </c>
      <c r="F466" s="411">
        <v>41041.322769999999</v>
      </c>
      <c r="G466" s="411">
        <v>52600.671679999999</v>
      </c>
      <c r="H466" s="411">
        <v>54413.41517</v>
      </c>
      <c r="I466" s="411">
        <v>56103.385340000001</v>
      </c>
      <c r="J466" s="411">
        <v>47269.78183</v>
      </c>
      <c r="K466" s="411">
        <v>24200.864501</v>
      </c>
      <c r="L466" s="411">
        <v>27695.069766000001</v>
      </c>
      <c r="M466" s="411">
        <v>28055.167529999999</v>
      </c>
      <c r="N466" s="411">
        <v>40527.261500000001</v>
      </c>
      <c r="O466" s="411">
        <v>51853.511160000002</v>
      </c>
      <c r="P466" s="411">
        <v>54094.0951099999</v>
      </c>
      <c r="Q466" s="411">
        <v>56578.355280000003</v>
      </c>
      <c r="R466" s="411">
        <v>47516.430520000002</v>
      </c>
      <c r="S466" s="411">
        <v>37890.737710000001</v>
      </c>
      <c r="T466" s="411">
        <v>26341.089818</v>
      </c>
      <c r="U466" s="411">
        <v>25186.556246</v>
      </c>
      <c r="V466" s="411">
        <v>24814.867871999999</v>
      </c>
    </row>
    <row r="467" spans="1:22" x14ac:dyDescent="0.25">
      <c r="A467" s="416" t="s">
        <v>534</v>
      </c>
      <c r="B467" s="416" t="s">
        <v>41</v>
      </c>
      <c r="C467" s="416"/>
      <c r="D467" s="413" t="s">
        <v>654</v>
      </c>
      <c r="E467" s="411">
        <v>0</v>
      </c>
      <c r="F467" s="411">
        <v>0</v>
      </c>
      <c r="G467" s="411">
        <v>0</v>
      </c>
      <c r="H467" s="411">
        <v>0</v>
      </c>
      <c r="I467" s="411">
        <v>0</v>
      </c>
      <c r="J467" s="411">
        <v>0</v>
      </c>
      <c r="K467" s="411">
        <v>0</v>
      </c>
      <c r="L467" s="411">
        <v>0</v>
      </c>
      <c r="M467" s="411">
        <v>0</v>
      </c>
      <c r="N467" s="411">
        <v>0</v>
      </c>
      <c r="O467" s="411">
        <v>0</v>
      </c>
      <c r="P467" s="411">
        <v>0</v>
      </c>
      <c r="Q467" s="411">
        <v>0</v>
      </c>
      <c r="R467" s="411">
        <v>0</v>
      </c>
      <c r="S467" s="411">
        <v>0</v>
      </c>
      <c r="T467" s="411">
        <v>0</v>
      </c>
      <c r="U467" s="411">
        <v>0</v>
      </c>
      <c r="V467" s="411">
        <v>0</v>
      </c>
    </row>
    <row r="468" spans="1:22" x14ac:dyDescent="0.25">
      <c r="A468" s="416" t="s">
        <v>534</v>
      </c>
      <c r="B468" s="416" t="s">
        <v>41</v>
      </c>
      <c r="C468" s="416"/>
      <c r="D468" s="414" t="s">
        <v>655</v>
      </c>
      <c r="E468" s="415">
        <v>28.41507051</v>
      </c>
      <c r="F468" s="415">
        <v>41.041322770000001</v>
      </c>
      <c r="G468" s="415">
        <v>52.600671679999998</v>
      </c>
      <c r="H468" s="415">
        <v>54.41341517</v>
      </c>
      <c r="I468" s="415">
        <v>56.103385340000003</v>
      </c>
      <c r="J468" s="415">
        <v>47.269781829999999</v>
      </c>
      <c r="K468" s="415">
        <v>24.200864501000002</v>
      </c>
      <c r="L468" s="415">
        <v>27.695069766</v>
      </c>
      <c r="M468" s="415">
        <v>28.055167529999999</v>
      </c>
      <c r="N468" s="415">
        <v>40.527261500000002</v>
      </c>
      <c r="O468" s="415">
        <v>51.853511159999996</v>
      </c>
      <c r="P468" s="415">
        <v>54.094095109999998</v>
      </c>
      <c r="Q468" s="415">
        <v>56.578355279999997</v>
      </c>
      <c r="R468" s="415">
        <v>47.51643052</v>
      </c>
      <c r="S468" s="415">
        <v>37.890737710000003</v>
      </c>
      <c r="T468" s="415">
        <v>26.341089818</v>
      </c>
      <c r="U468" s="415">
        <v>25.186556245999999</v>
      </c>
      <c r="V468" s="415">
        <v>24.814867872000001</v>
      </c>
    </row>
    <row r="469" spans="1:22" x14ac:dyDescent="0.25">
      <c r="A469" s="416" t="s">
        <v>534</v>
      </c>
      <c r="B469" s="416" t="s">
        <v>41</v>
      </c>
      <c r="C469" s="416"/>
      <c r="D469" s="414" t="s">
        <v>656</v>
      </c>
      <c r="E469" s="415">
        <v>0.43020000000000003</v>
      </c>
      <c r="F469" s="415">
        <v>0.43020000000000003</v>
      </c>
      <c r="G469" s="415">
        <v>0.43020000000000003</v>
      </c>
      <c r="H469" s="415">
        <v>0.43020000000000003</v>
      </c>
      <c r="I469" s="415">
        <v>0.43020000000000003</v>
      </c>
      <c r="J469" s="415">
        <v>0.43020000000000003</v>
      </c>
      <c r="K469" s="415">
        <v>0.43020000000000003</v>
      </c>
      <c r="L469" s="415">
        <v>0.43020000000000003</v>
      </c>
      <c r="M469" s="415">
        <v>0.43020000000000003</v>
      </c>
      <c r="N469" s="415">
        <v>0.43020000000000003</v>
      </c>
      <c r="O469" s="415">
        <v>0.43020000000000003</v>
      </c>
      <c r="P469" s="415">
        <v>0.43020000000000003</v>
      </c>
      <c r="Q469" s="415">
        <v>0.43020000000000003</v>
      </c>
      <c r="R469" s="415">
        <v>0.43020000000000003</v>
      </c>
      <c r="S469" s="415">
        <v>0.43020000000000003</v>
      </c>
      <c r="T469" s="415">
        <v>0.43020000000000003</v>
      </c>
      <c r="U469" s="415">
        <v>0.43020000000000003</v>
      </c>
      <c r="V469" s="415">
        <v>0.43020000000000003</v>
      </c>
    </row>
    <row r="470" spans="1:22" x14ac:dyDescent="0.25">
      <c r="A470" s="416" t="s">
        <v>534</v>
      </c>
      <c r="B470" s="416" t="s">
        <v>41</v>
      </c>
      <c r="C470" s="416"/>
      <c r="D470" s="414" t="s">
        <v>657</v>
      </c>
      <c r="E470" s="415">
        <v>0.43020000000000003</v>
      </c>
      <c r="F470" s="415">
        <v>0.43020000000000003</v>
      </c>
      <c r="G470" s="415">
        <v>0.43020000000000003</v>
      </c>
      <c r="H470" s="415">
        <v>0.43020000000000003</v>
      </c>
      <c r="I470" s="415">
        <v>0.43020000000000003</v>
      </c>
      <c r="J470" s="415">
        <v>0.43020000000000003</v>
      </c>
      <c r="K470" s="415">
        <v>0.43020000000000003</v>
      </c>
      <c r="L470" s="415">
        <v>0.43020000000000003</v>
      </c>
      <c r="M470" s="415">
        <v>0.43020000000000003</v>
      </c>
      <c r="N470" s="415">
        <v>0.43020000000000003</v>
      </c>
      <c r="O470" s="415">
        <v>0.43020000000000003</v>
      </c>
      <c r="P470" s="415">
        <v>0.43020000000000003</v>
      </c>
      <c r="Q470" s="415">
        <v>0.43020000000000003</v>
      </c>
      <c r="R470" s="415">
        <v>0.43020000000000003</v>
      </c>
      <c r="S470" s="415">
        <v>0.43020000000000003</v>
      </c>
      <c r="T470" s="415">
        <v>0.43020000000000003</v>
      </c>
      <c r="U470" s="415">
        <v>0.43020000000000003</v>
      </c>
      <c r="V470" s="415">
        <v>0.43020000000000003</v>
      </c>
    </row>
    <row r="471" spans="1:22" x14ac:dyDescent="0.25">
      <c r="A471" s="416" t="s">
        <v>534</v>
      </c>
      <c r="B471" s="416" t="s">
        <v>41</v>
      </c>
      <c r="C471" s="416"/>
      <c r="D471" s="414" t="s">
        <v>658</v>
      </c>
      <c r="E471" s="415">
        <v>0</v>
      </c>
      <c r="F471" s="415">
        <v>0</v>
      </c>
      <c r="G471" s="415">
        <v>0</v>
      </c>
      <c r="H471" s="415">
        <v>0</v>
      </c>
      <c r="I471" s="415">
        <v>0</v>
      </c>
      <c r="J471" s="415">
        <v>0</v>
      </c>
      <c r="K471" s="415">
        <v>0</v>
      </c>
      <c r="L471" s="415">
        <v>0</v>
      </c>
      <c r="M471" s="415">
        <v>0</v>
      </c>
      <c r="N471" s="415">
        <v>0</v>
      </c>
      <c r="O471" s="415">
        <v>0</v>
      </c>
      <c r="P471" s="415">
        <v>0</v>
      </c>
      <c r="Q471" s="415">
        <v>0</v>
      </c>
      <c r="R471" s="415">
        <v>0</v>
      </c>
      <c r="S471" s="415">
        <v>0</v>
      </c>
      <c r="T471" s="415">
        <v>0</v>
      </c>
      <c r="U471" s="415">
        <v>0</v>
      </c>
      <c r="V471" s="415">
        <v>0</v>
      </c>
    </row>
    <row r="472" spans="1:22" x14ac:dyDescent="0.25">
      <c r="A472" s="416" t="s">
        <v>534</v>
      </c>
      <c r="B472" s="416" t="s">
        <v>41</v>
      </c>
      <c r="C472" s="416" t="s">
        <v>436</v>
      </c>
      <c r="D472" s="412" t="s">
        <v>659</v>
      </c>
      <c r="E472" s="411">
        <v>12.224163333401901</v>
      </c>
      <c r="F472" s="411">
        <v>17.655977055653999</v>
      </c>
      <c r="G472" s="411">
        <v>22.628808956735998</v>
      </c>
      <c r="H472" s="411">
        <v>23.408651206134</v>
      </c>
      <c r="I472" s="411">
        <v>24.135676373268002</v>
      </c>
      <c r="J472" s="411">
        <v>20.335460143266001</v>
      </c>
      <c r="K472" s="411">
        <v>10.4112119083302</v>
      </c>
      <c r="L472" s="411">
        <v>11.9144190133332</v>
      </c>
      <c r="M472" s="411">
        <v>12.069333071406</v>
      </c>
      <c r="N472" s="411">
        <v>17.4348278973</v>
      </c>
      <c r="O472" s="411">
        <v>22.307380501032</v>
      </c>
      <c r="P472" s="411">
        <v>23.271279716321999</v>
      </c>
      <c r="Q472" s="411">
        <v>24.340008441456</v>
      </c>
      <c r="R472" s="411">
        <v>20.441568409704001</v>
      </c>
      <c r="S472" s="411">
        <v>16.300595362842</v>
      </c>
      <c r="T472" s="411">
        <v>11.3319368397036</v>
      </c>
      <c r="U472" s="411">
        <v>10.835256497029199</v>
      </c>
      <c r="V472" s="411">
        <v>10.675356158534401</v>
      </c>
    </row>
    <row r="473" spans="1:22" x14ac:dyDescent="0.25">
      <c r="A473" s="416" t="s">
        <v>534</v>
      </c>
      <c r="B473" s="416" t="s">
        <v>41</v>
      </c>
      <c r="C473" s="416"/>
      <c r="D473" s="412" t="s">
        <v>660</v>
      </c>
    </row>
    <row r="474" spans="1:22" x14ac:dyDescent="0.25">
      <c r="A474" s="416" t="s">
        <v>534</v>
      </c>
      <c r="B474" s="416" t="s">
        <v>41</v>
      </c>
      <c r="C474" s="416"/>
      <c r="D474" s="413" t="s">
        <v>678</v>
      </c>
      <c r="E474" s="411">
        <v>550</v>
      </c>
      <c r="F474" s="411">
        <v>550</v>
      </c>
      <c r="G474" s="411">
        <v>550</v>
      </c>
      <c r="H474" s="411">
        <v>550</v>
      </c>
      <c r="I474" s="411">
        <v>550</v>
      </c>
      <c r="J474" s="411">
        <v>550</v>
      </c>
      <c r="K474" s="411">
        <v>550</v>
      </c>
      <c r="L474" s="411">
        <v>550</v>
      </c>
      <c r="M474" s="411">
        <v>550</v>
      </c>
      <c r="N474" s="411">
        <v>550</v>
      </c>
      <c r="O474" s="411">
        <v>550</v>
      </c>
      <c r="P474" s="411">
        <v>550</v>
      </c>
      <c r="Q474" s="411">
        <v>550</v>
      </c>
      <c r="R474" s="411">
        <v>550</v>
      </c>
      <c r="S474" s="411">
        <v>550</v>
      </c>
      <c r="T474" s="411">
        <v>550</v>
      </c>
      <c r="U474" s="411">
        <v>550</v>
      </c>
      <c r="V474" s="411">
        <v>550</v>
      </c>
    </row>
    <row r="475" spans="1:22" x14ac:dyDescent="0.25">
      <c r="A475" s="416" t="s">
        <v>534</v>
      </c>
      <c r="B475" s="416" t="s">
        <v>41</v>
      </c>
      <c r="C475" s="416" t="s">
        <v>535</v>
      </c>
      <c r="D475" s="417" t="s">
        <v>679</v>
      </c>
      <c r="E475" s="415">
        <v>1.65</v>
      </c>
      <c r="F475" s="415">
        <v>1.65</v>
      </c>
      <c r="G475" s="415">
        <v>1.65</v>
      </c>
      <c r="H475" s="415">
        <v>1.65</v>
      </c>
      <c r="I475" s="415">
        <v>1.65</v>
      </c>
      <c r="J475" s="415">
        <v>1.65</v>
      </c>
      <c r="K475" s="415">
        <v>1.65</v>
      </c>
      <c r="L475" s="415">
        <v>1.65</v>
      </c>
      <c r="M475" s="415">
        <v>1.65</v>
      </c>
      <c r="N475" s="415">
        <v>1.65</v>
      </c>
      <c r="O475" s="415">
        <v>1.65</v>
      </c>
      <c r="P475" s="415">
        <v>1.65</v>
      </c>
      <c r="Q475" s="415">
        <v>1.65</v>
      </c>
      <c r="R475" s="415">
        <v>1.65</v>
      </c>
      <c r="S475" s="415">
        <v>1.65</v>
      </c>
      <c r="T475" s="415">
        <v>1.65</v>
      </c>
      <c r="U475" s="415">
        <v>1.65</v>
      </c>
      <c r="V475" s="415">
        <v>1.65</v>
      </c>
    </row>
    <row r="476" spans="1:22" x14ac:dyDescent="0.25">
      <c r="A476" s="416" t="s">
        <v>534</v>
      </c>
      <c r="B476" s="416" t="s">
        <v>41</v>
      </c>
      <c r="C476" s="416"/>
      <c r="D476" s="412" t="s">
        <v>661</v>
      </c>
    </row>
    <row r="477" spans="1:22" x14ac:dyDescent="0.25">
      <c r="A477" s="416" t="s">
        <v>534</v>
      </c>
      <c r="B477" s="416" t="s">
        <v>41</v>
      </c>
      <c r="C477" s="416"/>
      <c r="D477" s="412" t="s">
        <v>662</v>
      </c>
      <c r="E477" s="411">
        <v>13.874163333401899</v>
      </c>
      <c r="F477" s="411">
        <v>19.305977055653901</v>
      </c>
      <c r="G477" s="411">
        <v>24.278808956736</v>
      </c>
      <c r="H477" s="411">
        <v>25.058651206134002</v>
      </c>
      <c r="I477" s="411">
        <v>25.785676373268</v>
      </c>
      <c r="J477" s="411">
        <v>21.985460143266</v>
      </c>
      <c r="K477" s="411">
        <v>12.061211908330201</v>
      </c>
      <c r="L477" s="411">
        <v>13.5644190133332</v>
      </c>
      <c r="M477" s="411">
        <v>13.719333071406</v>
      </c>
      <c r="N477" s="411">
        <v>19.084827897299999</v>
      </c>
      <c r="O477" s="411">
        <v>23.957380501031999</v>
      </c>
      <c r="P477" s="411">
        <v>24.921279716321902</v>
      </c>
      <c r="Q477" s="411">
        <v>25.990008441455998</v>
      </c>
      <c r="R477" s="411">
        <v>22.091568409703999</v>
      </c>
      <c r="S477" s="411">
        <v>17.950595362842002</v>
      </c>
      <c r="T477" s="411">
        <v>12.9819368397036</v>
      </c>
      <c r="U477" s="411">
        <v>12.4852564970292</v>
      </c>
      <c r="V477" s="411">
        <v>12.325356158534399</v>
      </c>
    </row>
    <row r="478" spans="1:22" x14ac:dyDescent="0.25">
      <c r="A478" s="416" t="s">
        <v>534</v>
      </c>
      <c r="B478" s="416" t="s">
        <v>41</v>
      </c>
      <c r="C478" s="416"/>
      <c r="D478" s="412" t="s">
        <v>663</v>
      </c>
    </row>
    <row r="479" spans="1:22" x14ac:dyDescent="0.25">
      <c r="A479" s="416" t="s">
        <v>534</v>
      </c>
      <c r="B479" s="416" t="s">
        <v>41</v>
      </c>
      <c r="C479" s="416"/>
      <c r="D479" s="414" t="s">
        <v>664</v>
      </c>
      <c r="E479" s="415">
        <v>0</v>
      </c>
      <c r="F479" s="415">
        <v>0</v>
      </c>
      <c r="G479" s="415">
        <v>0</v>
      </c>
      <c r="H479" s="415">
        <v>0</v>
      </c>
      <c r="I479" s="415">
        <v>0</v>
      </c>
      <c r="J479" s="415">
        <v>0</v>
      </c>
      <c r="K479" s="415">
        <v>0</v>
      </c>
      <c r="L479" s="415">
        <v>0</v>
      </c>
      <c r="M479" s="415">
        <v>0</v>
      </c>
      <c r="N479" s="415">
        <v>0</v>
      </c>
      <c r="O479" s="415">
        <v>0</v>
      </c>
      <c r="P479" s="415">
        <v>0</v>
      </c>
      <c r="Q479" s="415">
        <v>0</v>
      </c>
      <c r="R479" s="415">
        <v>0</v>
      </c>
      <c r="S479" s="415">
        <v>0</v>
      </c>
      <c r="T479" s="415">
        <v>0</v>
      </c>
      <c r="U479" s="415">
        <v>0</v>
      </c>
      <c r="V479" s="415">
        <v>0</v>
      </c>
    </row>
    <row r="480" spans="1:22" x14ac:dyDescent="0.25">
      <c r="A480" s="416" t="s">
        <v>534</v>
      </c>
      <c r="B480" s="416" t="s">
        <v>41</v>
      </c>
      <c r="C480" s="416" t="s">
        <v>178</v>
      </c>
      <c r="D480" s="413" t="s">
        <v>665</v>
      </c>
      <c r="E480" s="411">
        <v>0</v>
      </c>
      <c r="F480" s="411">
        <v>0</v>
      </c>
      <c r="G480" s="411">
        <v>0</v>
      </c>
      <c r="H480" s="411">
        <v>0</v>
      </c>
      <c r="I480" s="411">
        <v>0</v>
      </c>
      <c r="J480" s="411">
        <v>0</v>
      </c>
      <c r="K480" s="411">
        <v>0</v>
      </c>
      <c r="L480" s="411">
        <v>0</v>
      </c>
      <c r="M480" s="411">
        <v>0</v>
      </c>
      <c r="N480" s="411">
        <v>0</v>
      </c>
      <c r="O480" s="411">
        <v>0</v>
      </c>
      <c r="P480" s="411">
        <v>0</v>
      </c>
      <c r="Q480" s="411">
        <v>0</v>
      </c>
      <c r="R480" s="411">
        <v>0</v>
      </c>
      <c r="S480" s="411">
        <v>0</v>
      </c>
      <c r="T480" s="411">
        <v>0</v>
      </c>
      <c r="U480" s="411">
        <v>0</v>
      </c>
      <c r="V480" s="411">
        <v>0</v>
      </c>
    </row>
    <row r="481" spans="1:22" x14ac:dyDescent="0.25">
      <c r="A481" s="416" t="s">
        <v>534</v>
      </c>
      <c r="B481" s="416" t="s">
        <v>41</v>
      </c>
      <c r="C481" s="416"/>
      <c r="D481" s="412" t="s">
        <v>666</v>
      </c>
    </row>
    <row r="482" spans="1:22" x14ac:dyDescent="0.25">
      <c r="A482" s="416" t="s">
        <v>534</v>
      </c>
      <c r="B482" s="416" t="s">
        <v>41</v>
      </c>
      <c r="C482" s="416"/>
      <c r="D482" s="414" t="s">
        <v>667</v>
      </c>
      <c r="E482" s="415">
        <v>0.34906843462946002</v>
      </c>
      <c r="F482" s="415">
        <v>0.16939007523933</v>
      </c>
      <c r="G482" s="415">
        <v>9.4024398016510996E-2</v>
      </c>
      <c r="H482" s="415">
        <v>7.9005885786712304E-2</v>
      </c>
      <c r="I482" s="415">
        <v>4.2818241030573301E-2</v>
      </c>
      <c r="J482" s="415">
        <v>5.3348528484577801E-2</v>
      </c>
      <c r="K482" s="415">
        <v>0.24690512534735301</v>
      </c>
      <c r="L482" s="415">
        <v>0.286805863570613</v>
      </c>
      <c r="M482" s="415">
        <v>0.2714755224323</v>
      </c>
      <c r="N482" s="415">
        <v>0.23977615362243901</v>
      </c>
      <c r="O482" s="415">
        <v>0.112823983088882</v>
      </c>
      <c r="P482" s="415">
        <v>3.1676324500992899E-2</v>
      </c>
      <c r="Q482" s="415">
        <v>5.1767532114618299E-2</v>
      </c>
      <c r="R482" s="415">
        <v>6.4560825100963504E-2</v>
      </c>
      <c r="S482" s="415">
        <v>0.10990553607190399</v>
      </c>
      <c r="T482" s="415">
        <v>0.18637651503338701</v>
      </c>
      <c r="U482" s="415">
        <v>0.28860955010716799</v>
      </c>
      <c r="V482" s="415">
        <v>0.33287319112658798</v>
      </c>
    </row>
    <row r="483" spans="1:22" x14ac:dyDescent="0.25">
      <c r="A483" s="416" t="s">
        <v>534</v>
      </c>
      <c r="B483" s="416" t="s">
        <v>41</v>
      </c>
      <c r="C483" s="416" t="s">
        <v>180</v>
      </c>
      <c r="D483" s="413" t="s">
        <v>668</v>
      </c>
      <c r="E483" s="411">
        <v>9.9188041828114404</v>
      </c>
      <c r="F483" s="411">
        <v>6.9519927519319298</v>
      </c>
      <c r="G483" s="411">
        <v>4.9457464899761403</v>
      </c>
      <c r="H483" s="411">
        <v>4.2989800641859803</v>
      </c>
      <c r="I483" s="411">
        <v>2.4022482761192498</v>
      </c>
      <c r="J483" s="411">
        <v>2.5217733024175302</v>
      </c>
      <c r="K483" s="411">
        <v>5.9753174831337201</v>
      </c>
      <c r="L483" s="411">
        <v>7.94310840088602</v>
      </c>
      <c r="M483" s="411">
        <v>7.6162912621324601</v>
      </c>
      <c r="N483" s="411">
        <v>9.7174708793207891</v>
      </c>
      <c r="O483" s="411">
        <v>5.8503196662149897</v>
      </c>
      <c r="P483" s="411">
        <v>1.7135021102919299</v>
      </c>
      <c r="Q483" s="411">
        <v>2.9289218239496799</v>
      </c>
      <c r="R483" s="411">
        <v>3.0676999602238002</v>
      </c>
      <c r="S483" s="411">
        <v>4.1644018401774598</v>
      </c>
      <c r="T483" s="411">
        <v>4.9093605224602799</v>
      </c>
      <c r="U483" s="411">
        <v>7.2690806669069499</v>
      </c>
      <c r="V483" s="411">
        <v>8.2602042559372997</v>
      </c>
    </row>
    <row r="484" spans="1:22" x14ac:dyDescent="0.25">
      <c r="A484" s="416" t="s">
        <v>534</v>
      </c>
      <c r="B484" s="416" t="s">
        <v>41</v>
      </c>
      <c r="C484" s="416"/>
      <c r="D484" s="412" t="s">
        <v>669</v>
      </c>
    </row>
    <row r="485" spans="1:22" x14ac:dyDescent="0.25">
      <c r="A485" s="416" t="s">
        <v>534</v>
      </c>
      <c r="B485" s="416" t="s">
        <v>41</v>
      </c>
      <c r="C485" s="416"/>
      <c r="D485" s="414" t="s">
        <v>670</v>
      </c>
      <c r="E485" s="415">
        <v>0</v>
      </c>
      <c r="F485" s="415">
        <v>0</v>
      </c>
      <c r="G485" s="415">
        <v>0</v>
      </c>
      <c r="H485" s="415">
        <v>0</v>
      </c>
      <c r="I485" s="415">
        <v>0</v>
      </c>
      <c r="J485" s="415">
        <v>0</v>
      </c>
      <c r="K485" s="415">
        <v>0</v>
      </c>
      <c r="L485" s="415">
        <v>0</v>
      </c>
      <c r="M485" s="415">
        <v>0</v>
      </c>
      <c r="N485" s="415">
        <v>0</v>
      </c>
      <c r="O485" s="415">
        <v>0</v>
      </c>
      <c r="P485" s="415">
        <v>0</v>
      </c>
      <c r="Q485" s="415">
        <v>0</v>
      </c>
      <c r="R485" s="415">
        <v>0</v>
      </c>
      <c r="S485" s="415">
        <v>0</v>
      </c>
      <c r="T485" s="415">
        <v>0</v>
      </c>
      <c r="U485" s="415">
        <v>0</v>
      </c>
      <c r="V485" s="415">
        <v>0</v>
      </c>
    </row>
    <row r="486" spans="1:22" x14ac:dyDescent="0.25">
      <c r="A486" s="416" t="s">
        <v>534</v>
      </c>
      <c r="B486" s="416" t="s">
        <v>41</v>
      </c>
      <c r="C486" s="411" t="s">
        <v>424</v>
      </c>
      <c r="D486" s="413" t="s">
        <v>671</v>
      </c>
      <c r="E486" s="411">
        <v>0</v>
      </c>
      <c r="F486" s="411">
        <v>0</v>
      </c>
      <c r="G486" s="411">
        <v>0</v>
      </c>
      <c r="H486" s="411">
        <v>0</v>
      </c>
      <c r="I486" s="411">
        <v>0</v>
      </c>
      <c r="J486" s="411">
        <v>0</v>
      </c>
      <c r="K486" s="411">
        <v>0</v>
      </c>
      <c r="L486" s="411">
        <v>0</v>
      </c>
      <c r="M486" s="411">
        <v>0</v>
      </c>
      <c r="N486" s="411">
        <v>0</v>
      </c>
      <c r="O486" s="411">
        <v>0</v>
      </c>
      <c r="P486" s="411">
        <v>0</v>
      </c>
      <c r="Q486" s="411">
        <v>0</v>
      </c>
      <c r="R486" s="411">
        <v>0</v>
      </c>
      <c r="S486" s="411">
        <v>0</v>
      </c>
      <c r="T486" s="411">
        <v>0</v>
      </c>
      <c r="U486" s="411">
        <v>0</v>
      </c>
      <c r="V486" s="411">
        <v>0</v>
      </c>
    </row>
    <row r="487" spans="1:22" x14ac:dyDescent="0.25">
      <c r="A487" s="416" t="s">
        <v>534</v>
      </c>
      <c r="B487" s="416" t="s">
        <v>41</v>
      </c>
      <c r="C487" s="411"/>
      <c r="D487" s="412" t="s">
        <v>672</v>
      </c>
      <c r="E487" s="411">
        <v>23.792967516213398</v>
      </c>
      <c r="F487" s="411">
        <v>26.257969807585901</v>
      </c>
      <c r="G487" s="411">
        <v>29.224555446712099</v>
      </c>
      <c r="H487" s="411">
        <v>29.357631270319899</v>
      </c>
      <c r="I487" s="411">
        <v>28.187924649387199</v>
      </c>
      <c r="J487" s="411">
        <v>24.5072334456835</v>
      </c>
      <c r="K487" s="411">
        <v>18.036529391463901</v>
      </c>
      <c r="L487" s="411">
        <v>21.507527414219201</v>
      </c>
      <c r="M487" s="411">
        <v>21.335624333538401</v>
      </c>
      <c r="N487" s="411">
        <v>28.802298776620798</v>
      </c>
      <c r="O487" s="411">
        <v>29.807700167246999</v>
      </c>
      <c r="P487" s="411">
        <v>26.634781826613899</v>
      </c>
      <c r="Q487" s="411">
        <v>28.918930265405599</v>
      </c>
      <c r="R487" s="411">
        <v>25.159268369927801</v>
      </c>
      <c r="S487" s="411">
        <v>22.114997203019399</v>
      </c>
      <c r="T487" s="411">
        <v>17.891297362163801</v>
      </c>
      <c r="U487" s="411">
        <v>19.7543371639361</v>
      </c>
      <c r="V487" s="411">
        <v>20.585560414471701</v>
      </c>
    </row>
    <row r="488" spans="1:22" s="84" customFormat="1" x14ac:dyDescent="0.25">
      <c r="A488" s="613" t="s">
        <v>111</v>
      </c>
      <c r="B488" s="613" t="s">
        <v>18</v>
      </c>
      <c r="C488" s="613"/>
      <c r="D488" s="643" t="s">
        <v>690</v>
      </c>
    </row>
    <row r="489" spans="1:22" x14ac:dyDescent="0.25">
      <c r="A489" s="416" t="s">
        <v>111</v>
      </c>
      <c r="B489" s="416" t="s">
        <v>18</v>
      </c>
      <c r="C489" s="416"/>
      <c r="D489" s="412" t="s">
        <v>645</v>
      </c>
    </row>
    <row r="490" spans="1:22" x14ac:dyDescent="0.25">
      <c r="A490" s="416" t="s">
        <v>111</v>
      </c>
      <c r="B490" s="416" t="s">
        <v>18</v>
      </c>
      <c r="C490" s="416"/>
      <c r="D490" s="413" t="s">
        <v>646</v>
      </c>
      <c r="E490" s="411">
        <v>3</v>
      </c>
      <c r="F490" s="411">
        <v>3</v>
      </c>
      <c r="G490" s="411">
        <v>3</v>
      </c>
      <c r="H490" s="411">
        <v>3</v>
      </c>
      <c r="I490" s="411">
        <v>3</v>
      </c>
      <c r="J490" s="411">
        <v>3</v>
      </c>
      <c r="K490" s="411">
        <v>3</v>
      </c>
      <c r="L490" s="411">
        <v>3</v>
      </c>
      <c r="M490" s="411">
        <v>3</v>
      </c>
      <c r="N490" s="411">
        <v>3</v>
      </c>
      <c r="O490" s="411">
        <v>3</v>
      </c>
      <c r="P490" s="411">
        <v>3</v>
      </c>
      <c r="Q490" s="411">
        <v>3</v>
      </c>
      <c r="R490" s="411">
        <v>3</v>
      </c>
      <c r="S490" s="411">
        <v>3</v>
      </c>
      <c r="T490" s="411">
        <v>3</v>
      </c>
      <c r="U490" s="411">
        <v>3</v>
      </c>
      <c r="V490" s="411">
        <v>3</v>
      </c>
    </row>
    <row r="491" spans="1:22" x14ac:dyDescent="0.25">
      <c r="A491" s="416" t="s">
        <v>111</v>
      </c>
      <c r="B491" s="416" t="s">
        <v>18</v>
      </c>
      <c r="C491" s="416"/>
      <c r="D491" s="413" t="s">
        <v>647</v>
      </c>
      <c r="E491" s="411">
        <v>2</v>
      </c>
      <c r="F491" s="411">
        <v>2</v>
      </c>
      <c r="G491" s="411">
        <v>2</v>
      </c>
      <c r="H491" s="411">
        <v>2</v>
      </c>
      <c r="I491" s="411">
        <v>2</v>
      </c>
      <c r="J491" s="411">
        <v>2</v>
      </c>
      <c r="K491" s="411">
        <v>2</v>
      </c>
      <c r="L491" s="411">
        <v>2</v>
      </c>
      <c r="M491" s="411">
        <v>2</v>
      </c>
      <c r="N491" s="411">
        <v>2</v>
      </c>
      <c r="O491" s="411">
        <v>2</v>
      </c>
      <c r="P491" s="411">
        <v>2</v>
      </c>
      <c r="Q491" s="411">
        <v>2</v>
      </c>
      <c r="R491" s="411">
        <v>2</v>
      </c>
      <c r="S491" s="411">
        <v>2</v>
      </c>
      <c r="T491" s="411">
        <v>2</v>
      </c>
      <c r="U491" s="411">
        <v>2</v>
      </c>
      <c r="V491" s="411">
        <v>2</v>
      </c>
    </row>
    <row r="492" spans="1:22" x14ac:dyDescent="0.25">
      <c r="A492" s="416" t="s">
        <v>111</v>
      </c>
      <c r="B492" s="416" t="s">
        <v>18</v>
      </c>
      <c r="C492" s="416"/>
      <c r="D492" s="413" t="s">
        <v>648</v>
      </c>
      <c r="E492" s="411">
        <v>5</v>
      </c>
      <c r="F492" s="411">
        <v>5</v>
      </c>
      <c r="G492" s="411">
        <v>5</v>
      </c>
      <c r="H492" s="411">
        <v>5</v>
      </c>
      <c r="I492" s="411">
        <v>5</v>
      </c>
      <c r="J492" s="411">
        <v>5</v>
      </c>
      <c r="K492" s="411">
        <v>5</v>
      </c>
      <c r="L492" s="411">
        <v>5</v>
      </c>
      <c r="M492" s="411">
        <v>5</v>
      </c>
      <c r="N492" s="411">
        <v>5</v>
      </c>
      <c r="O492" s="411">
        <v>5</v>
      </c>
      <c r="P492" s="411">
        <v>5</v>
      </c>
      <c r="Q492" s="411">
        <v>5</v>
      </c>
      <c r="R492" s="411">
        <v>5</v>
      </c>
      <c r="S492" s="411">
        <v>5</v>
      </c>
      <c r="T492" s="411">
        <v>5</v>
      </c>
      <c r="U492" s="411">
        <v>5</v>
      </c>
      <c r="V492" s="411">
        <v>5</v>
      </c>
    </row>
    <row r="493" spans="1:22" x14ac:dyDescent="0.25">
      <c r="A493" s="416" t="s">
        <v>111</v>
      </c>
      <c r="B493" s="416" t="s">
        <v>18</v>
      </c>
      <c r="C493" s="416"/>
      <c r="D493" s="413" t="s">
        <v>649</v>
      </c>
      <c r="E493" s="411">
        <v>40</v>
      </c>
      <c r="F493" s="411">
        <v>40</v>
      </c>
      <c r="G493" s="411">
        <v>40</v>
      </c>
      <c r="H493" s="411">
        <v>40</v>
      </c>
      <c r="I493" s="411">
        <v>40</v>
      </c>
      <c r="J493" s="411">
        <v>40</v>
      </c>
      <c r="K493" s="411">
        <v>40</v>
      </c>
      <c r="L493" s="411">
        <v>40</v>
      </c>
      <c r="M493" s="411">
        <v>40</v>
      </c>
      <c r="N493" s="411">
        <v>40</v>
      </c>
      <c r="O493" s="411">
        <v>40</v>
      </c>
      <c r="P493" s="411">
        <v>40</v>
      </c>
      <c r="Q493" s="411">
        <v>40</v>
      </c>
      <c r="R493" s="411">
        <v>40</v>
      </c>
      <c r="S493" s="411">
        <v>40</v>
      </c>
      <c r="T493" s="411">
        <v>40</v>
      </c>
      <c r="U493" s="411">
        <v>40</v>
      </c>
      <c r="V493" s="411">
        <v>40</v>
      </c>
    </row>
    <row r="494" spans="1:22" x14ac:dyDescent="0.25">
      <c r="A494" s="416" t="s">
        <v>111</v>
      </c>
      <c r="B494" s="416" t="s">
        <v>18</v>
      </c>
      <c r="C494" s="416"/>
      <c r="D494" s="413" t="s">
        <v>650</v>
      </c>
      <c r="E494" s="411">
        <v>180</v>
      </c>
      <c r="F494" s="411">
        <v>180</v>
      </c>
      <c r="G494" s="411">
        <v>180</v>
      </c>
      <c r="H494" s="411">
        <v>180</v>
      </c>
      <c r="I494" s="411">
        <v>180</v>
      </c>
      <c r="J494" s="411">
        <v>180</v>
      </c>
      <c r="K494" s="411">
        <v>180</v>
      </c>
      <c r="L494" s="411">
        <v>180</v>
      </c>
      <c r="M494" s="411">
        <v>180</v>
      </c>
      <c r="N494" s="411">
        <v>180</v>
      </c>
      <c r="O494" s="411">
        <v>180</v>
      </c>
      <c r="P494" s="411">
        <v>180</v>
      </c>
      <c r="Q494" s="411">
        <v>180</v>
      </c>
      <c r="R494" s="411">
        <v>180</v>
      </c>
      <c r="S494" s="411">
        <v>180</v>
      </c>
      <c r="T494" s="411">
        <v>180</v>
      </c>
      <c r="U494" s="411">
        <v>180</v>
      </c>
      <c r="V494" s="411">
        <v>180</v>
      </c>
    </row>
    <row r="495" spans="1:22" x14ac:dyDescent="0.25">
      <c r="A495" s="416" t="s">
        <v>111</v>
      </c>
      <c r="B495" s="416" t="s">
        <v>18</v>
      </c>
      <c r="C495" s="416" t="s">
        <v>154</v>
      </c>
      <c r="D495" s="412" t="s">
        <v>651</v>
      </c>
      <c r="E495" s="411">
        <v>0.48</v>
      </c>
      <c r="F495" s="411">
        <v>0.48</v>
      </c>
      <c r="G495" s="411">
        <v>0.48</v>
      </c>
      <c r="H495" s="411">
        <v>0.48</v>
      </c>
      <c r="I495" s="411">
        <v>0.48</v>
      </c>
      <c r="J495" s="411">
        <v>0.48</v>
      </c>
      <c r="K495" s="411">
        <v>0.48</v>
      </c>
      <c r="L495" s="411">
        <v>0.48</v>
      </c>
      <c r="M495" s="411">
        <v>0.48</v>
      </c>
      <c r="N495" s="411">
        <v>0.48</v>
      </c>
      <c r="O495" s="411">
        <v>0.48</v>
      </c>
      <c r="P495" s="411">
        <v>0.48</v>
      </c>
      <c r="Q495" s="411">
        <v>0.48</v>
      </c>
      <c r="R495" s="411">
        <v>0.48</v>
      </c>
      <c r="S495" s="411">
        <v>0.48</v>
      </c>
      <c r="T495" s="411">
        <v>0.48</v>
      </c>
      <c r="U495" s="411">
        <v>0.48</v>
      </c>
      <c r="V495" s="411">
        <v>0.48</v>
      </c>
    </row>
    <row r="496" spans="1:22" x14ac:dyDescent="0.25">
      <c r="A496" s="416" t="s">
        <v>111</v>
      </c>
      <c r="B496" s="416" t="s">
        <v>18</v>
      </c>
      <c r="C496" s="416"/>
      <c r="D496" s="412" t="s">
        <v>652</v>
      </c>
    </row>
    <row r="497" spans="1:22" x14ac:dyDescent="0.25">
      <c r="A497" s="416" t="s">
        <v>111</v>
      </c>
      <c r="B497" s="416" t="s">
        <v>18</v>
      </c>
      <c r="C497" s="416"/>
      <c r="D497" s="413" t="s">
        <v>653</v>
      </c>
      <c r="E497" s="411">
        <v>1226.2273210000001</v>
      </c>
      <c r="F497" s="411">
        <v>1797.9479530000001</v>
      </c>
      <c r="G497" s="411">
        <v>1562.01361</v>
      </c>
      <c r="H497" s="411">
        <v>1369.9069280000001</v>
      </c>
      <c r="I497" s="411">
        <v>1134.8532150000001</v>
      </c>
      <c r="J497" s="411">
        <v>1084.833335</v>
      </c>
      <c r="K497" s="411">
        <v>1162.669144</v>
      </c>
      <c r="L497" s="411">
        <v>1244.334384</v>
      </c>
      <c r="M497" s="411">
        <v>1279.362196</v>
      </c>
      <c r="N497" s="411">
        <v>1860.3674960000001</v>
      </c>
      <c r="O497" s="411">
        <v>1596.2557380000001</v>
      </c>
      <c r="P497" s="411">
        <v>1399.789534</v>
      </c>
      <c r="Q497" s="411">
        <v>1169.3873149999999</v>
      </c>
      <c r="R497" s="411">
        <v>1113.4373989999999</v>
      </c>
      <c r="S497" s="411">
        <v>1027.360905</v>
      </c>
      <c r="T497" s="411">
        <v>1150.9588980000001</v>
      </c>
      <c r="U497" s="411">
        <v>1122.6311459999999</v>
      </c>
      <c r="V497" s="411">
        <v>1162.2512939999999</v>
      </c>
    </row>
    <row r="498" spans="1:22" x14ac:dyDescent="0.25">
      <c r="A498" s="416" t="s">
        <v>111</v>
      </c>
      <c r="B498" s="416" t="s">
        <v>18</v>
      </c>
      <c r="C498" s="416"/>
      <c r="D498" s="413" t="s">
        <v>654</v>
      </c>
      <c r="E498" s="411">
        <v>387.22968029999998</v>
      </c>
      <c r="F498" s="411">
        <v>664.99444830000004</v>
      </c>
      <c r="G498" s="411">
        <v>1278.0111360000001</v>
      </c>
      <c r="H498" s="411">
        <v>2054.860392</v>
      </c>
      <c r="I498" s="411">
        <v>2411.5630820000001</v>
      </c>
      <c r="J498" s="411">
        <v>2202.5404079999998</v>
      </c>
      <c r="K498" s="411">
        <v>367.15867700000001</v>
      </c>
      <c r="L498" s="411">
        <v>414.77812799999998</v>
      </c>
      <c r="M498" s="411">
        <v>404.0091147</v>
      </c>
      <c r="N498" s="411">
        <v>688.08112870000002</v>
      </c>
      <c r="O498" s="411">
        <v>1306.0274219999999</v>
      </c>
      <c r="P498" s="411">
        <v>2099.6843009999998</v>
      </c>
      <c r="Q498" s="411">
        <v>2484.9480450000001</v>
      </c>
      <c r="R498" s="411">
        <v>2260.6153239999999</v>
      </c>
      <c r="S498" s="411">
        <v>1478.3974000000001</v>
      </c>
      <c r="T498" s="411">
        <v>675.95998780000002</v>
      </c>
      <c r="U498" s="411">
        <v>504.37051480000002</v>
      </c>
      <c r="V498" s="411">
        <v>387.41709800000001</v>
      </c>
    </row>
    <row r="499" spans="1:22" x14ac:dyDescent="0.25">
      <c r="A499" s="416" t="s">
        <v>111</v>
      </c>
      <c r="B499" s="416" t="s">
        <v>18</v>
      </c>
      <c r="C499" s="416"/>
      <c r="D499" s="414" t="s">
        <v>655</v>
      </c>
      <c r="E499" s="415">
        <v>1.6134570013</v>
      </c>
      <c r="F499" s="415">
        <v>2.4629424012999999</v>
      </c>
      <c r="G499" s="415">
        <v>2.8400247460000001</v>
      </c>
      <c r="H499" s="415">
        <v>3.4247673199999999</v>
      </c>
      <c r="I499" s="415">
        <v>3.5464162969999999</v>
      </c>
      <c r="J499" s="415">
        <v>3.2873737429999998</v>
      </c>
      <c r="K499" s="415">
        <v>1.52982782099999</v>
      </c>
      <c r="L499" s="415">
        <v>1.6591125119999901</v>
      </c>
      <c r="M499" s="415">
        <v>1.6833713106999999</v>
      </c>
      <c r="N499" s="415">
        <v>2.5484486247000002</v>
      </c>
      <c r="O499" s="415">
        <v>2.9022831600000001</v>
      </c>
      <c r="P499" s="415">
        <v>3.4994738349999999</v>
      </c>
      <c r="Q499" s="415">
        <v>3.6543353600000001</v>
      </c>
      <c r="R499" s="415">
        <v>3.3740527229999899</v>
      </c>
      <c r="S499" s="415">
        <v>2.5057583050000001</v>
      </c>
      <c r="T499" s="415">
        <v>1.8269188858000001</v>
      </c>
      <c r="U499" s="415">
        <v>1.6270016608</v>
      </c>
      <c r="V499" s="415">
        <v>1.5496683920000001</v>
      </c>
    </row>
    <row r="500" spans="1:22" x14ac:dyDescent="0.25">
      <c r="A500" s="416" t="s">
        <v>111</v>
      </c>
      <c r="B500" s="416" t="s">
        <v>18</v>
      </c>
      <c r="C500" s="416"/>
      <c r="D500" s="414" t="s">
        <v>656</v>
      </c>
      <c r="E500" s="415">
        <v>2.2778999999999998</v>
      </c>
      <c r="F500" s="415">
        <v>2.2778999999999998</v>
      </c>
      <c r="G500" s="415">
        <v>2.2778999999999998</v>
      </c>
      <c r="H500" s="415">
        <v>2.2778999999999998</v>
      </c>
      <c r="I500" s="415">
        <v>2.2778999999999998</v>
      </c>
      <c r="J500" s="415">
        <v>2.2778999999999998</v>
      </c>
      <c r="K500" s="415">
        <v>2.2778999999999998</v>
      </c>
      <c r="L500" s="415">
        <v>2.2778999999999998</v>
      </c>
      <c r="M500" s="415">
        <v>2.2778999999999998</v>
      </c>
      <c r="N500" s="415">
        <v>2.2778999999999998</v>
      </c>
      <c r="O500" s="415">
        <v>2.2778999999999998</v>
      </c>
      <c r="P500" s="415">
        <v>2.2778999999999998</v>
      </c>
      <c r="Q500" s="415">
        <v>2.2778999999999998</v>
      </c>
      <c r="R500" s="415">
        <v>2.2778999999999998</v>
      </c>
      <c r="S500" s="415">
        <v>2.2778999999999998</v>
      </c>
      <c r="T500" s="415">
        <v>2.2778999999999998</v>
      </c>
      <c r="U500" s="415">
        <v>2.2778999999999998</v>
      </c>
      <c r="V500" s="415">
        <v>2.2778999999999998</v>
      </c>
    </row>
    <row r="501" spans="1:22" x14ac:dyDescent="0.25">
      <c r="A501" s="416" t="s">
        <v>111</v>
      </c>
      <c r="B501" s="416" t="s">
        <v>18</v>
      </c>
      <c r="C501" s="416"/>
      <c r="D501" s="414" t="s">
        <v>657</v>
      </c>
      <c r="E501" s="415">
        <v>2.2778999999999998</v>
      </c>
      <c r="F501" s="415">
        <v>2.2778999999999998</v>
      </c>
      <c r="G501" s="415">
        <v>2.2778999999999998</v>
      </c>
      <c r="H501" s="415">
        <v>2.2778999999999998</v>
      </c>
      <c r="I501" s="415">
        <v>2.2778999999999998</v>
      </c>
      <c r="J501" s="415">
        <v>2.2778999999999998</v>
      </c>
      <c r="K501" s="415">
        <v>2.2778999999999998</v>
      </c>
      <c r="L501" s="415">
        <v>2.2778999999999998</v>
      </c>
      <c r="M501" s="415">
        <v>2.2778999999999998</v>
      </c>
      <c r="N501" s="415">
        <v>2.2778999999999998</v>
      </c>
      <c r="O501" s="415">
        <v>2.2778999999999998</v>
      </c>
      <c r="P501" s="415">
        <v>2.2778999999999998</v>
      </c>
      <c r="Q501" s="415">
        <v>2.2778999999999998</v>
      </c>
      <c r="R501" s="415">
        <v>2.2778999999999998</v>
      </c>
      <c r="S501" s="415">
        <v>2.2778999999999998</v>
      </c>
      <c r="T501" s="415">
        <v>2.2778999999999998</v>
      </c>
      <c r="U501" s="415">
        <v>2.2778999999999998</v>
      </c>
      <c r="V501" s="415">
        <v>2.2778999999999998</v>
      </c>
    </row>
    <row r="502" spans="1:22" x14ac:dyDescent="0.25">
      <c r="A502" s="416" t="s">
        <v>111</v>
      </c>
      <c r="B502" s="416" t="s">
        <v>18</v>
      </c>
      <c r="C502" s="416"/>
      <c r="D502" s="414" t="s">
        <v>658</v>
      </c>
      <c r="E502" s="415">
        <v>1.7779</v>
      </c>
      <c r="F502" s="415">
        <v>1.7779</v>
      </c>
      <c r="G502" s="415">
        <v>2.2778999999999998</v>
      </c>
      <c r="H502" s="415">
        <v>2.2778999999999998</v>
      </c>
      <c r="I502" s="415">
        <v>2.2778999999999998</v>
      </c>
      <c r="J502" s="415">
        <v>2.2778999999999998</v>
      </c>
      <c r="K502" s="415">
        <v>1.7779</v>
      </c>
      <c r="L502" s="415">
        <v>1.7779</v>
      </c>
      <c r="M502" s="415">
        <v>1.7779</v>
      </c>
      <c r="N502" s="415">
        <v>1.7779</v>
      </c>
      <c r="O502" s="415">
        <v>2.2778999999999998</v>
      </c>
      <c r="P502" s="415">
        <v>2.2778999999999998</v>
      </c>
      <c r="Q502" s="415">
        <v>2.2778999999999998</v>
      </c>
      <c r="R502" s="415">
        <v>2.2778999999999998</v>
      </c>
      <c r="S502" s="415">
        <v>2.2778999999999998</v>
      </c>
      <c r="T502" s="415">
        <v>1.7779</v>
      </c>
      <c r="U502" s="415">
        <v>1.7779</v>
      </c>
      <c r="V502" s="415">
        <v>1.7779</v>
      </c>
    </row>
    <row r="503" spans="1:22" x14ac:dyDescent="0.25">
      <c r="A503" s="416" t="s">
        <v>111</v>
      </c>
      <c r="B503" s="416" t="s">
        <v>18</v>
      </c>
      <c r="C503" s="416" t="s">
        <v>436</v>
      </c>
      <c r="D503" s="412" t="s">
        <v>659</v>
      </c>
      <c r="E503" s="411">
        <v>3.4816788631112701</v>
      </c>
      <c r="F503" s="411">
        <v>5.2778392717712697</v>
      </c>
      <c r="G503" s="411">
        <v>6.4692923689133996</v>
      </c>
      <c r="H503" s="411">
        <v>7.8012774782279903</v>
      </c>
      <c r="I503" s="411">
        <v>8.0783816829362998</v>
      </c>
      <c r="J503" s="411">
        <v>7.4883086491796904</v>
      </c>
      <c r="K503" s="411">
        <v>3.3012154549559001</v>
      </c>
      <c r="L503" s="411">
        <v>3.5719033270848</v>
      </c>
      <c r="M503" s="411">
        <v>3.6325469512935298</v>
      </c>
      <c r="N503" s="411">
        <v>5.4610705578541197</v>
      </c>
      <c r="O503" s="411">
        <v>6.6111108101639902</v>
      </c>
      <c r="P503" s="411">
        <v>7.9714514487464996</v>
      </c>
      <c r="Q503" s="411">
        <v>8.3242105165439995</v>
      </c>
      <c r="R503" s="411">
        <v>7.6857546977216904</v>
      </c>
      <c r="S503" s="411">
        <v>5.7078668429594996</v>
      </c>
      <c r="T503" s="411">
        <v>3.8235585360638198</v>
      </c>
      <c r="U503" s="411">
        <v>3.4539618257363101</v>
      </c>
      <c r="V503" s="411">
        <v>3.3362810811368</v>
      </c>
    </row>
    <row r="504" spans="1:22" x14ac:dyDescent="0.25">
      <c r="A504" s="416" t="s">
        <v>111</v>
      </c>
      <c r="B504" s="416" t="s">
        <v>18</v>
      </c>
      <c r="C504" s="416"/>
      <c r="D504" s="412" t="s">
        <v>660</v>
      </c>
    </row>
    <row r="505" spans="1:22" x14ac:dyDescent="0.25">
      <c r="A505" s="416" t="s">
        <v>111</v>
      </c>
      <c r="B505" s="416" t="s">
        <v>18</v>
      </c>
      <c r="C505" s="416"/>
      <c r="D505" s="412" t="s">
        <v>661</v>
      </c>
    </row>
    <row r="506" spans="1:22" x14ac:dyDescent="0.25">
      <c r="A506" s="416" t="s">
        <v>111</v>
      </c>
      <c r="B506" s="416" t="s">
        <v>18</v>
      </c>
      <c r="C506" s="416"/>
      <c r="D506" s="412" t="s">
        <v>662</v>
      </c>
      <c r="E506" s="411">
        <v>3.96167886311127</v>
      </c>
      <c r="F506" s="411">
        <v>5.7578392717712701</v>
      </c>
      <c r="G506" s="411">
        <v>6.9492923689133903</v>
      </c>
      <c r="H506" s="411">
        <v>8.2812774782279899</v>
      </c>
      <c r="I506" s="411">
        <v>8.5583816829363002</v>
      </c>
      <c r="J506" s="411">
        <v>7.96830864917969</v>
      </c>
      <c r="K506" s="411">
        <v>3.7812154549559001</v>
      </c>
      <c r="L506" s="411">
        <v>4.0519033270847897</v>
      </c>
      <c r="M506" s="411">
        <v>4.1125469512935204</v>
      </c>
      <c r="N506" s="411">
        <v>5.9410705578541201</v>
      </c>
      <c r="O506" s="411">
        <v>7.0911108101639897</v>
      </c>
      <c r="P506" s="411">
        <v>8.4514514487465</v>
      </c>
      <c r="Q506" s="411">
        <v>8.8042105165439999</v>
      </c>
      <c r="R506" s="411">
        <v>8.1657546977216899</v>
      </c>
      <c r="S506" s="411">
        <v>6.1878668429595001</v>
      </c>
      <c r="T506" s="411">
        <v>4.3035585360638198</v>
      </c>
      <c r="U506" s="411">
        <v>3.93396182573631</v>
      </c>
      <c r="V506" s="411">
        <v>3.8162810811368</v>
      </c>
    </row>
    <row r="507" spans="1:22" x14ac:dyDescent="0.25">
      <c r="A507" s="416" t="s">
        <v>111</v>
      </c>
      <c r="B507" s="416" t="s">
        <v>18</v>
      </c>
      <c r="C507" s="416"/>
      <c r="D507" s="412" t="s">
        <v>663</v>
      </c>
    </row>
    <row r="508" spans="1:22" x14ac:dyDescent="0.25">
      <c r="A508" s="416" t="s">
        <v>111</v>
      </c>
      <c r="B508" s="416" t="s">
        <v>18</v>
      </c>
      <c r="C508" s="416"/>
      <c r="D508" s="414" t="s">
        <v>664</v>
      </c>
      <c r="E508" s="415">
        <v>3.54132328535503</v>
      </c>
      <c r="F508" s="415">
        <v>4.0825536529198896</v>
      </c>
      <c r="G508" s="415">
        <v>4.6151370530302804</v>
      </c>
      <c r="H508" s="415">
        <v>4.7204926546137003</v>
      </c>
      <c r="I508" s="415">
        <v>4.2816079006073897</v>
      </c>
      <c r="J508" s="415">
        <v>4.61774840312499</v>
      </c>
      <c r="K508" s="415">
        <v>3.6370825733754901</v>
      </c>
      <c r="L508" s="415">
        <v>3.1998593487156</v>
      </c>
      <c r="M508" s="415">
        <v>3.4441400635944199</v>
      </c>
      <c r="N508" s="415">
        <v>2.6697967759149801</v>
      </c>
      <c r="O508" s="415">
        <v>3.6621728781104101</v>
      </c>
      <c r="P508" s="415">
        <v>3.9547219031793199</v>
      </c>
      <c r="Q508" s="415">
        <v>4.3060793499123999</v>
      </c>
      <c r="R508" s="415">
        <v>4.66270835833049</v>
      </c>
      <c r="S508" s="415">
        <v>5.2056863414265502</v>
      </c>
      <c r="T508" s="415">
        <v>5.4531502607765896</v>
      </c>
      <c r="U508" s="415">
        <v>5.0764131270513699</v>
      </c>
      <c r="V508" s="415">
        <v>4.0447960531742</v>
      </c>
    </row>
    <row r="509" spans="1:22" x14ac:dyDescent="0.25">
      <c r="A509" s="416" t="s">
        <v>111</v>
      </c>
      <c r="B509" s="416" t="s">
        <v>18</v>
      </c>
      <c r="C509" s="416" t="s">
        <v>178</v>
      </c>
      <c r="D509" s="413" t="s">
        <v>665</v>
      </c>
      <c r="E509" s="411">
        <v>5.7137728486227903</v>
      </c>
      <c r="F509" s="411">
        <v>10.055094497358599</v>
      </c>
      <c r="G509" s="411">
        <v>13.107103436787501</v>
      </c>
      <c r="H509" s="411">
        <v>16.166588977821</v>
      </c>
      <c r="I509" s="411">
        <v>15.184364036078</v>
      </c>
      <c r="J509" s="411">
        <v>15.180264852213201</v>
      </c>
      <c r="K509" s="411">
        <v>5.5641101080241002</v>
      </c>
      <c r="L509" s="411">
        <v>5.3089266820942296</v>
      </c>
      <c r="M509" s="411">
        <v>5.7977665730873298</v>
      </c>
      <c r="N509" s="411">
        <v>6.8038399218090397</v>
      </c>
      <c r="O509" s="411">
        <v>10.628662673148501</v>
      </c>
      <c r="P509" s="411">
        <v>13.8394458248774</v>
      </c>
      <c r="Q509" s="411">
        <v>15.7358580313507</v>
      </c>
      <c r="R509" s="411">
        <v>15.7322238329798</v>
      </c>
      <c r="S509" s="411">
        <v>13.0441917832546</v>
      </c>
      <c r="T509" s="411">
        <v>9.9624631985179501</v>
      </c>
      <c r="U509" s="411">
        <v>8.2593325886195004</v>
      </c>
      <c r="V509" s="411">
        <v>6.2680925956904101</v>
      </c>
    </row>
    <row r="510" spans="1:22" x14ac:dyDescent="0.25">
      <c r="A510" s="416" t="s">
        <v>111</v>
      </c>
      <c r="B510" s="416" t="s">
        <v>18</v>
      </c>
      <c r="C510" s="416"/>
      <c r="D510" s="412" t="s">
        <v>666</v>
      </c>
    </row>
    <row r="511" spans="1:22" x14ac:dyDescent="0.25">
      <c r="A511" s="416" t="s">
        <v>111</v>
      </c>
      <c r="B511" s="416" t="s">
        <v>18</v>
      </c>
      <c r="C511" s="416"/>
      <c r="D511" s="414" t="s">
        <v>667</v>
      </c>
      <c r="E511" s="415">
        <v>0</v>
      </c>
      <c r="F511" s="415">
        <v>0</v>
      </c>
      <c r="G511" s="415">
        <v>0</v>
      </c>
      <c r="H511" s="415">
        <v>0</v>
      </c>
      <c r="I511" s="415">
        <v>0</v>
      </c>
      <c r="J511" s="415">
        <v>0</v>
      </c>
      <c r="K511" s="415">
        <v>0</v>
      </c>
      <c r="L511" s="415">
        <v>0</v>
      </c>
      <c r="M511" s="415">
        <v>0</v>
      </c>
      <c r="N511" s="415">
        <v>0</v>
      </c>
      <c r="O511" s="415">
        <v>0</v>
      </c>
      <c r="P511" s="415">
        <v>0</v>
      </c>
      <c r="Q511" s="415">
        <v>0</v>
      </c>
      <c r="R511" s="415">
        <v>0</v>
      </c>
      <c r="S511" s="415">
        <v>0</v>
      </c>
      <c r="T511" s="415">
        <v>0</v>
      </c>
      <c r="U511" s="415">
        <v>0</v>
      </c>
      <c r="V511" s="415">
        <v>0</v>
      </c>
    </row>
    <row r="512" spans="1:22" x14ac:dyDescent="0.25">
      <c r="A512" s="416" t="s">
        <v>111</v>
      </c>
      <c r="B512" s="416" t="s">
        <v>18</v>
      </c>
      <c r="C512" s="416" t="s">
        <v>180</v>
      </c>
      <c r="D512" s="413" t="s">
        <v>668</v>
      </c>
      <c r="E512" s="411">
        <v>0</v>
      </c>
      <c r="F512" s="411">
        <v>0</v>
      </c>
      <c r="G512" s="411">
        <v>0</v>
      </c>
      <c r="H512" s="411">
        <v>0</v>
      </c>
      <c r="I512" s="411">
        <v>0</v>
      </c>
      <c r="J512" s="411">
        <v>0</v>
      </c>
      <c r="K512" s="411">
        <v>0</v>
      </c>
      <c r="L512" s="411">
        <v>0</v>
      </c>
      <c r="M512" s="411">
        <v>0</v>
      </c>
      <c r="N512" s="411">
        <v>0</v>
      </c>
      <c r="O512" s="411">
        <v>0</v>
      </c>
      <c r="P512" s="411">
        <v>0</v>
      </c>
      <c r="Q512" s="411">
        <v>0</v>
      </c>
      <c r="R512" s="411">
        <v>0</v>
      </c>
      <c r="S512" s="411">
        <v>0</v>
      </c>
      <c r="T512" s="411">
        <v>0</v>
      </c>
      <c r="U512" s="411">
        <v>0</v>
      </c>
      <c r="V512" s="411">
        <v>0</v>
      </c>
    </row>
    <row r="513" spans="1:22" x14ac:dyDescent="0.25">
      <c r="A513" s="416" t="s">
        <v>111</v>
      </c>
      <c r="B513" s="416" t="s">
        <v>18</v>
      </c>
      <c r="C513" s="416"/>
      <c r="D513" s="412" t="s">
        <v>669</v>
      </c>
    </row>
    <row r="514" spans="1:22" x14ac:dyDescent="0.25">
      <c r="A514" s="416" t="s">
        <v>111</v>
      </c>
      <c r="B514" s="416" t="s">
        <v>18</v>
      </c>
      <c r="C514" s="416"/>
      <c r="D514" s="414" t="s">
        <v>670</v>
      </c>
      <c r="E514" s="415">
        <v>2.90831517292084E-2</v>
      </c>
      <c r="F514" s="415">
        <v>2.90831517292084E-2</v>
      </c>
      <c r="G514" s="415">
        <v>2.90831517292084E-2</v>
      </c>
      <c r="H514" s="415">
        <v>2.90831517292084E-2</v>
      </c>
      <c r="I514" s="415">
        <v>2.90831517292084E-2</v>
      </c>
      <c r="J514" s="415">
        <v>2.90831517292084E-2</v>
      </c>
      <c r="K514" s="415">
        <v>2.90831517292084E-2</v>
      </c>
      <c r="L514" s="415">
        <v>2.90831517292084E-2</v>
      </c>
      <c r="M514" s="415">
        <v>2.90831517292084E-2</v>
      </c>
      <c r="N514" s="415">
        <v>2.90831517292084E-2</v>
      </c>
      <c r="O514" s="415">
        <v>2.90831517292084E-2</v>
      </c>
      <c r="P514" s="415">
        <v>2.90831517292084E-2</v>
      </c>
      <c r="Q514" s="415">
        <v>2.90831517292084E-2</v>
      </c>
      <c r="R514" s="415">
        <v>2.90831517292084E-2</v>
      </c>
      <c r="S514" s="415">
        <v>2.90831517292084E-2</v>
      </c>
      <c r="T514" s="415">
        <v>2.90831517292084E-2</v>
      </c>
      <c r="U514" s="415">
        <v>2.90831517292084E-2</v>
      </c>
      <c r="V514" s="415">
        <v>2.90831517292084E-2</v>
      </c>
    </row>
    <row r="515" spans="1:22" x14ac:dyDescent="0.25">
      <c r="A515" s="416" t="s">
        <v>111</v>
      </c>
      <c r="B515" s="416" t="s">
        <v>18</v>
      </c>
      <c r="C515" s="416" t="s">
        <v>424</v>
      </c>
      <c r="D515" s="413" t="s">
        <v>671</v>
      </c>
      <c r="E515" s="411">
        <v>1.03372295454437</v>
      </c>
      <c r="F515" s="411">
        <v>1.0745160015728801</v>
      </c>
      <c r="G515" s="411">
        <v>1.0810843309959299</v>
      </c>
      <c r="H515" s="411">
        <v>1.1474760657410299</v>
      </c>
      <c r="I515" s="411">
        <v>1.43414320278651</v>
      </c>
      <c r="J515" s="411">
        <v>1.4180186958871599</v>
      </c>
      <c r="K515" s="411">
        <v>1.25837409942013</v>
      </c>
      <c r="L515" s="411">
        <v>1.31740464968895</v>
      </c>
      <c r="M515" s="411">
        <v>1.29317807714233</v>
      </c>
      <c r="N515" s="411">
        <v>1.27216919850847</v>
      </c>
      <c r="O515" s="411">
        <v>1.26728894050007</v>
      </c>
      <c r="P515" s="411">
        <v>1.3591188610262399</v>
      </c>
      <c r="Q515" s="411">
        <v>1.64343000221716</v>
      </c>
      <c r="R515" s="411">
        <v>1.62175760664294</v>
      </c>
      <c r="S515" s="411">
        <v>1.60798319533769</v>
      </c>
      <c r="T515" s="411">
        <v>1.52274150463659</v>
      </c>
      <c r="U515" s="411">
        <v>1.55437333320418</v>
      </c>
      <c r="V515" s="411">
        <v>1.50584951382759</v>
      </c>
    </row>
    <row r="516" spans="1:22" x14ac:dyDescent="0.25">
      <c r="A516" s="416" t="s">
        <v>111</v>
      </c>
      <c r="B516" s="416" t="s">
        <v>18</v>
      </c>
      <c r="C516" s="416"/>
      <c r="D516" s="412" t="s">
        <v>672</v>
      </c>
      <c r="E516" s="411">
        <v>10.7091746662784</v>
      </c>
      <c r="F516" s="411">
        <v>16.887449770702698</v>
      </c>
      <c r="G516" s="411">
        <v>21.137480136696801</v>
      </c>
      <c r="H516" s="411">
        <v>25.595342521789998</v>
      </c>
      <c r="I516" s="411">
        <v>25.176888921800799</v>
      </c>
      <c r="J516" s="411">
        <v>24.566592197280102</v>
      </c>
      <c r="K516" s="411">
        <v>10.6036996624001</v>
      </c>
      <c r="L516" s="411">
        <v>10.6782346588679</v>
      </c>
      <c r="M516" s="411">
        <v>11.203491601523099</v>
      </c>
      <c r="N516" s="411">
        <v>14.0170796781716</v>
      </c>
      <c r="O516" s="411">
        <v>18.987062423812599</v>
      </c>
      <c r="P516" s="411">
        <v>23.650016134650102</v>
      </c>
      <c r="Q516" s="411">
        <v>26.1834985501118</v>
      </c>
      <c r="R516" s="411">
        <v>25.519736137344498</v>
      </c>
      <c r="S516" s="411">
        <v>20.8400418215518</v>
      </c>
      <c r="T516" s="411">
        <v>15.7887632392183</v>
      </c>
      <c r="U516" s="411">
        <v>13.74766774756</v>
      </c>
      <c r="V516" s="411">
        <v>11.5902231906548</v>
      </c>
    </row>
    <row r="517" spans="1:22" s="84" customFormat="1" x14ac:dyDescent="0.25">
      <c r="A517" s="613" t="s">
        <v>125</v>
      </c>
      <c r="B517" s="613" t="s">
        <v>22</v>
      </c>
      <c r="C517" s="613"/>
      <c r="D517" s="643" t="s">
        <v>691</v>
      </c>
    </row>
    <row r="518" spans="1:22" x14ac:dyDescent="0.25">
      <c r="A518" s="416" t="s">
        <v>125</v>
      </c>
      <c r="B518" s="416" t="s">
        <v>22</v>
      </c>
      <c r="C518" s="416"/>
      <c r="D518" s="412" t="s">
        <v>645</v>
      </c>
    </row>
    <row r="519" spans="1:22" x14ac:dyDescent="0.25">
      <c r="A519" s="416" t="s">
        <v>125</v>
      </c>
      <c r="B519" s="416" t="s">
        <v>22</v>
      </c>
      <c r="C519" s="416"/>
      <c r="D519" s="413" t="s">
        <v>646</v>
      </c>
      <c r="E519" s="411">
        <v>294106</v>
      </c>
      <c r="F519" s="411">
        <v>294431</v>
      </c>
      <c r="G519" s="411">
        <v>295094</v>
      </c>
      <c r="H519" s="411">
        <v>296171</v>
      </c>
      <c r="I519" s="411">
        <v>296728</v>
      </c>
      <c r="J519" s="411">
        <v>296970</v>
      </c>
      <c r="K519" s="411">
        <v>295585</v>
      </c>
      <c r="L519" s="411">
        <v>295508</v>
      </c>
      <c r="M519" s="411">
        <v>295117</v>
      </c>
      <c r="N519" s="411">
        <v>295420</v>
      </c>
      <c r="O519" s="411">
        <v>295562</v>
      </c>
      <c r="P519" s="411">
        <v>296650</v>
      </c>
      <c r="Q519" s="411">
        <v>297218</v>
      </c>
      <c r="R519" s="411">
        <v>297472</v>
      </c>
      <c r="S519" s="411">
        <v>297745</v>
      </c>
      <c r="T519" s="411">
        <v>297132</v>
      </c>
      <c r="U519" s="411">
        <v>296589</v>
      </c>
      <c r="V519" s="411">
        <v>296513</v>
      </c>
    </row>
    <row r="520" spans="1:22" x14ac:dyDescent="0.25">
      <c r="A520" s="416" t="s">
        <v>125</v>
      </c>
      <c r="B520" s="416" t="s">
        <v>22</v>
      </c>
      <c r="C520" s="416"/>
      <c r="D520" s="413" t="s">
        <v>647</v>
      </c>
      <c r="E520" s="411">
        <v>0</v>
      </c>
      <c r="F520" s="411">
        <v>0</v>
      </c>
      <c r="G520" s="411">
        <v>0</v>
      </c>
      <c r="H520" s="411">
        <v>0</v>
      </c>
      <c r="I520" s="411">
        <v>0</v>
      </c>
      <c r="J520" s="411">
        <v>0</v>
      </c>
      <c r="K520" s="411">
        <v>0</v>
      </c>
      <c r="L520" s="411">
        <v>0</v>
      </c>
      <c r="M520" s="411">
        <v>0</v>
      </c>
      <c r="N520" s="411">
        <v>0</v>
      </c>
      <c r="O520" s="411">
        <v>0</v>
      </c>
      <c r="P520" s="411">
        <v>0</v>
      </c>
      <c r="Q520" s="411">
        <v>0</v>
      </c>
      <c r="R520" s="411">
        <v>0</v>
      </c>
      <c r="S520" s="411">
        <v>0</v>
      </c>
      <c r="T520" s="411">
        <v>0</v>
      </c>
      <c r="U520" s="411">
        <v>0</v>
      </c>
      <c r="V520" s="411">
        <v>0</v>
      </c>
    </row>
    <row r="521" spans="1:22" x14ac:dyDescent="0.25">
      <c r="A521" s="416" t="s">
        <v>125</v>
      </c>
      <c r="B521" s="416" t="s">
        <v>22</v>
      </c>
      <c r="C521" s="416"/>
      <c r="D521" s="413" t="s">
        <v>648</v>
      </c>
      <c r="E521" s="411">
        <v>294106</v>
      </c>
      <c r="F521" s="411">
        <v>294431</v>
      </c>
      <c r="G521" s="411">
        <v>295094</v>
      </c>
      <c r="H521" s="411">
        <v>296171</v>
      </c>
      <c r="I521" s="411">
        <v>296728</v>
      </c>
      <c r="J521" s="411">
        <v>296970</v>
      </c>
      <c r="K521" s="411">
        <v>295585</v>
      </c>
      <c r="L521" s="411">
        <v>295508</v>
      </c>
      <c r="M521" s="411">
        <v>295117</v>
      </c>
      <c r="N521" s="411">
        <v>295420</v>
      </c>
      <c r="O521" s="411">
        <v>295562</v>
      </c>
      <c r="P521" s="411">
        <v>296650</v>
      </c>
      <c r="Q521" s="411">
        <v>297218</v>
      </c>
      <c r="R521" s="411">
        <v>297472</v>
      </c>
      <c r="S521" s="411">
        <v>297745</v>
      </c>
      <c r="T521" s="411">
        <v>297132</v>
      </c>
      <c r="U521" s="411">
        <v>296589</v>
      </c>
      <c r="V521" s="411">
        <v>296513</v>
      </c>
    </row>
    <row r="522" spans="1:22" x14ac:dyDescent="0.25">
      <c r="A522" s="416" t="s">
        <v>125</v>
      </c>
      <c r="B522" s="416" t="s">
        <v>22</v>
      </c>
      <c r="C522" s="416"/>
      <c r="D522" s="413" t="s">
        <v>649</v>
      </c>
      <c r="E522" s="411">
        <v>13.5</v>
      </c>
      <c r="F522" s="411">
        <v>13.5</v>
      </c>
      <c r="G522" s="411">
        <v>13.5</v>
      </c>
      <c r="H522" s="411">
        <v>13.5</v>
      </c>
      <c r="I522" s="411">
        <v>13.5</v>
      </c>
      <c r="J522" s="411">
        <v>13.5</v>
      </c>
      <c r="K522" s="411">
        <v>13.5</v>
      </c>
      <c r="L522" s="411">
        <v>13.5</v>
      </c>
      <c r="M522" s="411">
        <v>13.5</v>
      </c>
      <c r="N522" s="411">
        <v>13.5</v>
      </c>
      <c r="O522" s="411">
        <v>13.5</v>
      </c>
      <c r="P522" s="411">
        <v>13.5</v>
      </c>
      <c r="Q522" s="411">
        <v>13.5</v>
      </c>
      <c r="R522" s="411">
        <v>13.5</v>
      </c>
      <c r="S522" s="411">
        <v>13.5</v>
      </c>
      <c r="T522" s="411">
        <v>13.5</v>
      </c>
      <c r="U522" s="411">
        <v>13.5</v>
      </c>
      <c r="V522" s="411">
        <v>13.5</v>
      </c>
    </row>
    <row r="523" spans="1:22" x14ac:dyDescent="0.25">
      <c r="A523" s="416" t="s">
        <v>125</v>
      </c>
      <c r="B523" s="416" t="s">
        <v>22</v>
      </c>
      <c r="C523" s="416"/>
      <c r="D523" s="413" t="s">
        <v>650</v>
      </c>
      <c r="E523" s="411">
        <v>0</v>
      </c>
      <c r="F523" s="411">
        <v>0</v>
      </c>
      <c r="G523" s="411">
        <v>0</v>
      </c>
      <c r="H523" s="411">
        <v>0</v>
      </c>
      <c r="I523" s="411">
        <v>0</v>
      </c>
      <c r="J523" s="411">
        <v>0</v>
      </c>
      <c r="K523" s="411">
        <v>0</v>
      </c>
      <c r="L523" s="411">
        <v>0</v>
      </c>
      <c r="M523" s="411">
        <v>0</v>
      </c>
      <c r="N523" s="411">
        <v>0</v>
      </c>
      <c r="O523" s="411">
        <v>0</v>
      </c>
      <c r="P523" s="411">
        <v>0</v>
      </c>
      <c r="Q523" s="411">
        <v>0</v>
      </c>
      <c r="R523" s="411">
        <v>0</v>
      </c>
      <c r="S523" s="411">
        <v>0</v>
      </c>
      <c r="T523" s="411">
        <v>0</v>
      </c>
      <c r="U523" s="411">
        <v>0</v>
      </c>
      <c r="V523" s="411">
        <v>0</v>
      </c>
    </row>
    <row r="524" spans="1:22" x14ac:dyDescent="0.25">
      <c r="A524" s="416" t="s">
        <v>125</v>
      </c>
      <c r="B524" s="416" t="s">
        <v>22</v>
      </c>
      <c r="C524" s="416" t="s">
        <v>154</v>
      </c>
      <c r="D524" s="412" t="s">
        <v>651</v>
      </c>
      <c r="E524" s="411">
        <v>3970.431</v>
      </c>
      <c r="F524" s="411">
        <v>3974.8184999999999</v>
      </c>
      <c r="G524" s="411">
        <v>3983.7689999999998</v>
      </c>
      <c r="H524" s="411">
        <v>3998.3085000000001</v>
      </c>
      <c r="I524" s="411">
        <v>4005.828</v>
      </c>
      <c r="J524" s="411">
        <v>4009.0949999999998</v>
      </c>
      <c r="K524" s="411">
        <v>3990.3975</v>
      </c>
      <c r="L524" s="411">
        <v>3989.3580000000002</v>
      </c>
      <c r="M524" s="411">
        <v>3984.0794999999998</v>
      </c>
      <c r="N524" s="411">
        <v>3988.17</v>
      </c>
      <c r="O524" s="411">
        <v>3990.087</v>
      </c>
      <c r="P524" s="411">
        <v>4004.7750000000001</v>
      </c>
      <c r="Q524" s="411">
        <v>4012.4430000000002</v>
      </c>
      <c r="R524" s="411">
        <v>4015.8719999999998</v>
      </c>
      <c r="S524" s="411">
        <v>4019.5574999999999</v>
      </c>
      <c r="T524" s="411">
        <v>4011.2820000000002</v>
      </c>
      <c r="U524" s="411">
        <v>4003.9515000000001</v>
      </c>
      <c r="V524" s="411">
        <v>4002.9254999999998</v>
      </c>
    </row>
    <row r="525" spans="1:22" x14ac:dyDescent="0.25">
      <c r="A525" s="416" t="s">
        <v>125</v>
      </c>
      <c r="B525" s="416" t="s">
        <v>22</v>
      </c>
      <c r="C525" s="416"/>
      <c r="D525" s="412" t="s">
        <v>652</v>
      </c>
    </row>
    <row r="526" spans="1:22" x14ac:dyDescent="0.25">
      <c r="A526" s="416" t="s">
        <v>125</v>
      </c>
      <c r="B526" s="416" t="s">
        <v>22</v>
      </c>
      <c r="C526" s="416"/>
      <c r="D526" s="413" t="s">
        <v>653</v>
      </c>
      <c r="E526" s="411">
        <v>363855.45412481</v>
      </c>
      <c r="F526" s="411">
        <v>722266.42397916899</v>
      </c>
      <c r="G526" s="411">
        <v>1883953.0907962399</v>
      </c>
      <c r="H526" s="411">
        <v>3470093.0340253902</v>
      </c>
      <c r="I526" s="411">
        <v>4319797.5753589002</v>
      </c>
      <c r="J526" s="411">
        <v>3654119.4696236998</v>
      </c>
      <c r="K526" s="411">
        <v>331379.92129634001</v>
      </c>
      <c r="L526" s="411">
        <v>325572.80697186</v>
      </c>
      <c r="M526" s="411">
        <v>357906.51170552999</v>
      </c>
      <c r="N526" s="411">
        <v>699066.75758664997</v>
      </c>
      <c r="O526" s="411">
        <v>1819908.05448802</v>
      </c>
      <c r="P526" s="411">
        <v>3383204.8678533998</v>
      </c>
      <c r="Q526" s="411">
        <v>4272129.1865721997</v>
      </c>
      <c r="R526" s="411">
        <v>3620817.0591555899</v>
      </c>
      <c r="S526" s="411">
        <v>2542353.7222257899</v>
      </c>
      <c r="T526" s="411">
        <v>1126273.595222</v>
      </c>
      <c r="U526" s="411">
        <v>653514.63452952995</v>
      </c>
      <c r="V526" s="411">
        <v>384194.79197376902</v>
      </c>
    </row>
    <row r="527" spans="1:22" x14ac:dyDescent="0.25">
      <c r="A527" s="416" t="s">
        <v>125</v>
      </c>
      <c r="B527" s="416" t="s">
        <v>22</v>
      </c>
      <c r="C527" s="416"/>
      <c r="D527" s="413" t="s">
        <v>654</v>
      </c>
      <c r="E527" s="411">
        <v>0</v>
      </c>
      <c r="F527" s="411">
        <v>0</v>
      </c>
      <c r="G527" s="411">
        <v>0</v>
      </c>
      <c r="H527" s="411">
        <v>0</v>
      </c>
      <c r="I527" s="411">
        <v>0</v>
      </c>
      <c r="J527" s="411">
        <v>0</v>
      </c>
      <c r="K527" s="411">
        <v>0</v>
      </c>
      <c r="L527" s="411">
        <v>0</v>
      </c>
      <c r="M527" s="411">
        <v>0</v>
      </c>
      <c r="N527" s="411">
        <v>0</v>
      </c>
      <c r="O527" s="411">
        <v>0</v>
      </c>
      <c r="P527" s="411">
        <v>0</v>
      </c>
      <c r="Q527" s="411">
        <v>0</v>
      </c>
      <c r="R527" s="411">
        <v>0</v>
      </c>
      <c r="S527" s="411">
        <v>0</v>
      </c>
      <c r="T527" s="411">
        <v>0</v>
      </c>
      <c r="U527" s="411">
        <v>0</v>
      </c>
      <c r="V527" s="411">
        <v>0</v>
      </c>
    </row>
    <row r="528" spans="1:22" x14ac:dyDescent="0.25">
      <c r="A528" s="416" t="s">
        <v>125</v>
      </c>
      <c r="B528" s="416" t="s">
        <v>22</v>
      </c>
      <c r="C528" s="416"/>
      <c r="D528" s="414" t="s">
        <v>655</v>
      </c>
      <c r="E528" s="415">
        <v>363.85545412481002</v>
      </c>
      <c r="F528" s="415">
        <v>722.26642397916999</v>
      </c>
      <c r="G528" s="415">
        <v>1883.9530907962401</v>
      </c>
      <c r="H528" s="415">
        <v>3470.0930340253899</v>
      </c>
      <c r="I528" s="415">
        <v>4319.7975753588998</v>
      </c>
      <c r="J528" s="415">
        <v>3654.1194696236998</v>
      </c>
      <c r="K528" s="415">
        <v>331.37992129634</v>
      </c>
      <c r="L528" s="415">
        <v>325.57280697186002</v>
      </c>
      <c r="M528" s="415">
        <v>357.90651170553002</v>
      </c>
      <c r="N528" s="415">
        <v>699.06675758665006</v>
      </c>
      <c r="O528" s="415">
        <v>1819.9080544880201</v>
      </c>
      <c r="P528" s="415">
        <v>3383.2048678534002</v>
      </c>
      <c r="Q528" s="415">
        <v>4272.1291865721996</v>
      </c>
      <c r="R528" s="415">
        <v>3620.8170591556</v>
      </c>
      <c r="S528" s="415">
        <v>2542.3537222257901</v>
      </c>
      <c r="T528" s="415">
        <v>1126.273595222</v>
      </c>
      <c r="U528" s="415">
        <v>653.51463452952999</v>
      </c>
      <c r="V528" s="415">
        <v>384.19479197376899</v>
      </c>
    </row>
    <row r="529" spans="1:22" x14ac:dyDescent="0.25">
      <c r="A529" s="416" t="s">
        <v>125</v>
      </c>
      <c r="B529" s="416" t="s">
        <v>22</v>
      </c>
      <c r="C529" s="416"/>
      <c r="D529" s="414" t="s">
        <v>656</v>
      </c>
      <c r="E529" s="415">
        <v>2.8693</v>
      </c>
      <c r="F529" s="415">
        <v>2.8693</v>
      </c>
      <c r="G529" s="415">
        <v>2.8693</v>
      </c>
      <c r="H529" s="415">
        <v>2.8693</v>
      </c>
      <c r="I529" s="415">
        <v>2.8693</v>
      </c>
      <c r="J529" s="415">
        <v>2.8693</v>
      </c>
      <c r="K529" s="415">
        <v>2.8693</v>
      </c>
      <c r="L529" s="415">
        <v>2.8693</v>
      </c>
      <c r="M529" s="415">
        <v>2.8693</v>
      </c>
      <c r="N529" s="415">
        <v>2.8693</v>
      </c>
      <c r="O529" s="415">
        <v>2.8693</v>
      </c>
      <c r="P529" s="415">
        <v>2.8693</v>
      </c>
      <c r="Q529" s="415">
        <v>2.8693</v>
      </c>
      <c r="R529" s="415">
        <v>2.8693</v>
      </c>
      <c r="S529" s="415">
        <v>2.8693</v>
      </c>
      <c r="T529" s="415">
        <v>2.8693</v>
      </c>
      <c r="U529" s="415">
        <v>2.8693</v>
      </c>
      <c r="V529" s="415">
        <v>2.8693</v>
      </c>
    </row>
    <row r="530" spans="1:22" x14ac:dyDescent="0.25">
      <c r="A530" s="416" t="s">
        <v>125</v>
      </c>
      <c r="B530" s="416" t="s">
        <v>22</v>
      </c>
      <c r="C530" s="416"/>
      <c r="D530" s="414" t="s">
        <v>657</v>
      </c>
      <c r="E530" s="415">
        <v>2.8693</v>
      </c>
      <c r="F530" s="415">
        <v>2.8693</v>
      </c>
      <c r="G530" s="415">
        <v>2.8693</v>
      </c>
      <c r="H530" s="415">
        <v>2.8693</v>
      </c>
      <c r="I530" s="415">
        <v>2.8693</v>
      </c>
      <c r="J530" s="415">
        <v>2.8693</v>
      </c>
      <c r="K530" s="415">
        <v>2.8693</v>
      </c>
      <c r="L530" s="415">
        <v>2.8693</v>
      </c>
      <c r="M530" s="415">
        <v>2.8693</v>
      </c>
      <c r="N530" s="415">
        <v>2.8693</v>
      </c>
      <c r="O530" s="415">
        <v>2.8693</v>
      </c>
      <c r="P530" s="415">
        <v>2.8693</v>
      </c>
      <c r="Q530" s="415">
        <v>2.8693</v>
      </c>
      <c r="R530" s="415">
        <v>2.8693</v>
      </c>
      <c r="S530" s="415">
        <v>2.8693</v>
      </c>
      <c r="T530" s="415">
        <v>2.8693</v>
      </c>
      <c r="U530" s="415">
        <v>2.8693</v>
      </c>
      <c r="V530" s="415">
        <v>2.8693</v>
      </c>
    </row>
    <row r="531" spans="1:22" x14ac:dyDescent="0.25">
      <c r="A531" s="416" t="s">
        <v>125</v>
      </c>
      <c r="B531" s="416" t="s">
        <v>22</v>
      </c>
      <c r="C531" s="416"/>
      <c r="D531" s="414" t="s">
        <v>658</v>
      </c>
      <c r="E531" s="415">
        <v>0</v>
      </c>
      <c r="F531" s="415">
        <v>0</v>
      </c>
      <c r="G531" s="415">
        <v>0</v>
      </c>
      <c r="H531" s="415">
        <v>0</v>
      </c>
      <c r="I531" s="415">
        <v>0</v>
      </c>
      <c r="J531" s="415">
        <v>0</v>
      </c>
      <c r="K531" s="415">
        <v>0</v>
      </c>
      <c r="L531" s="415">
        <v>0</v>
      </c>
      <c r="M531" s="415">
        <v>0</v>
      </c>
      <c r="N531" s="415">
        <v>0</v>
      </c>
      <c r="O531" s="415">
        <v>0</v>
      </c>
      <c r="P531" s="415">
        <v>0</v>
      </c>
      <c r="Q531" s="415">
        <v>0</v>
      </c>
      <c r="R531" s="415">
        <v>0</v>
      </c>
      <c r="S531" s="415">
        <v>0</v>
      </c>
      <c r="T531" s="415">
        <v>0</v>
      </c>
      <c r="U531" s="415">
        <v>0</v>
      </c>
      <c r="V531" s="415">
        <v>0</v>
      </c>
    </row>
    <row r="532" spans="1:22" x14ac:dyDescent="0.25">
      <c r="A532" s="416" t="s">
        <v>125</v>
      </c>
      <c r="B532" s="416" t="s">
        <v>22</v>
      </c>
      <c r="C532" s="416" t="s">
        <v>436</v>
      </c>
      <c r="D532" s="412" t="s">
        <v>659</v>
      </c>
      <c r="E532" s="411">
        <v>1044.0104545203101</v>
      </c>
      <c r="F532" s="411">
        <v>2072.3990503234299</v>
      </c>
      <c r="G532" s="411">
        <v>5405.6266034216496</v>
      </c>
      <c r="H532" s="411">
        <v>9956.7379425290692</v>
      </c>
      <c r="I532" s="411">
        <v>12394.795182977199</v>
      </c>
      <c r="J532" s="411">
        <v>10484.7649941912</v>
      </c>
      <c r="K532" s="411">
        <v>950.82840817558804</v>
      </c>
      <c r="L532" s="411">
        <v>934.16605504435699</v>
      </c>
      <c r="M532" s="411">
        <v>1026.94115403667</v>
      </c>
      <c r="N532" s="411">
        <v>2005.8322475433699</v>
      </c>
      <c r="O532" s="411">
        <v>5221.8621807424697</v>
      </c>
      <c r="P532" s="411">
        <v>9707.4297273317607</v>
      </c>
      <c r="Q532" s="411">
        <v>12258.0202750316</v>
      </c>
      <c r="R532" s="411">
        <v>10389.210387835101</v>
      </c>
      <c r="S532" s="411">
        <v>7294.7755351824799</v>
      </c>
      <c r="T532" s="411">
        <v>3231.6168267704802</v>
      </c>
      <c r="U532" s="411">
        <v>1875.12954085558</v>
      </c>
      <c r="V532" s="411">
        <v>1102.3701166103299</v>
      </c>
    </row>
    <row r="533" spans="1:22" x14ac:dyDescent="0.25">
      <c r="A533" s="416" t="s">
        <v>125</v>
      </c>
      <c r="B533" s="416" t="s">
        <v>22</v>
      </c>
      <c r="C533" s="416"/>
      <c r="D533" s="412" t="s">
        <v>660</v>
      </c>
    </row>
    <row r="534" spans="1:22" x14ac:dyDescent="0.25">
      <c r="A534" s="416" t="s">
        <v>125</v>
      </c>
      <c r="B534" s="416" t="s">
        <v>22</v>
      </c>
      <c r="C534" s="416"/>
      <c r="D534" s="412" t="s">
        <v>661</v>
      </c>
    </row>
    <row r="535" spans="1:22" x14ac:dyDescent="0.25">
      <c r="A535" s="416" t="s">
        <v>125</v>
      </c>
      <c r="B535" s="416" t="s">
        <v>22</v>
      </c>
      <c r="C535" s="416"/>
      <c r="D535" s="412" t="s">
        <v>662</v>
      </c>
      <c r="E535" s="411">
        <v>5014.4414545203099</v>
      </c>
      <c r="F535" s="411">
        <v>6047.2175503234303</v>
      </c>
      <c r="G535" s="411">
        <v>9389.3956034216499</v>
      </c>
      <c r="H535" s="411">
        <v>13955.046442528999</v>
      </c>
      <c r="I535" s="411">
        <v>16400.6231829772</v>
      </c>
      <c r="J535" s="411">
        <v>14493.8599941912</v>
      </c>
      <c r="K535" s="411">
        <v>4941.2259081755801</v>
      </c>
      <c r="L535" s="411">
        <v>4923.5240550443496</v>
      </c>
      <c r="M535" s="411">
        <v>5011.0206540366698</v>
      </c>
      <c r="N535" s="411">
        <v>5994.0022475433698</v>
      </c>
      <c r="O535" s="411">
        <v>9211.9491807424693</v>
      </c>
      <c r="P535" s="411">
        <v>13712.2047273317</v>
      </c>
      <c r="Q535" s="411">
        <v>16270.4632750316</v>
      </c>
      <c r="R535" s="411">
        <v>14405.0823878351</v>
      </c>
      <c r="S535" s="411">
        <v>11314.333035182401</v>
      </c>
      <c r="T535" s="411">
        <v>7242.8988267704799</v>
      </c>
      <c r="U535" s="411">
        <v>5879.0810408555799</v>
      </c>
      <c r="V535" s="411">
        <v>5105.2956166103304</v>
      </c>
    </row>
    <row r="536" spans="1:22" x14ac:dyDescent="0.25">
      <c r="A536" s="416" t="s">
        <v>125</v>
      </c>
      <c r="B536" s="416" t="s">
        <v>22</v>
      </c>
      <c r="C536" s="416"/>
      <c r="D536" s="412" t="s">
        <v>663</v>
      </c>
    </row>
    <row r="537" spans="1:22" x14ac:dyDescent="0.25">
      <c r="A537" s="416" t="s">
        <v>125</v>
      </c>
      <c r="B537" s="416" t="s">
        <v>22</v>
      </c>
      <c r="C537" s="416"/>
      <c r="D537" s="414" t="s">
        <v>664</v>
      </c>
      <c r="E537" s="415">
        <v>3.54132328535503</v>
      </c>
      <c r="F537" s="415">
        <v>4.0825536529198896</v>
      </c>
      <c r="G537" s="415">
        <v>4.6151370530302804</v>
      </c>
      <c r="H537" s="415">
        <v>4.7204926546137003</v>
      </c>
      <c r="I537" s="415">
        <v>4.2816079006073897</v>
      </c>
      <c r="J537" s="415">
        <v>4.61774840312499</v>
      </c>
      <c r="K537" s="415">
        <v>3.6370825733754901</v>
      </c>
      <c r="L537" s="415">
        <v>3.1998593487156</v>
      </c>
      <c r="M537" s="415">
        <v>3.4441400635944199</v>
      </c>
      <c r="N537" s="415">
        <v>2.6697967759149801</v>
      </c>
      <c r="O537" s="415">
        <v>3.6621728781104101</v>
      </c>
      <c r="P537" s="415">
        <v>3.9547219031793199</v>
      </c>
      <c r="Q537" s="415">
        <v>4.3060793499123999</v>
      </c>
      <c r="R537" s="415">
        <v>4.66270835833049</v>
      </c>
      <c r="S537" s="415">
        <v>5.2056863414265502</v>
      </c>
      <c r="T537" s="415">
        <v>5.4531502607765896</v>
      </c>
      <c r="U537" s="415">
        <v>5.0764131270513699</v>
      </c>
      <c r="V537" s="415">
        <v>4.0447960531742</v>
      </c>
    </row>
    <row r="538" spans="1:22" x14ac:dyDescent="0.25">
      <c r="A538" s="416" t="s">
        <v>125</v>
      </c>
      <c r="B538" s="416" t="s">
        <v>22</v>
      </c>
      <c r="C538" s="416" t="s">
        <v>178</v>
      </c>
      <c r="D538" s="413" t="s">
        <v>665</v>
      </c>
      <c r="E538" s="411">
        <v>1288.5297921956201</v>
      </c>
      <c r="F538" s="411">
        <v>2948.69142759754</v>
      </c>
      <c r="G538" s="411">
        <v>8694.7017155046506</v>
      </c>
      <c r="H538" s="411">
        <v>16380.548677942999</v>
      </c>
      <c r="I538" s="411">
        <v>18495.679427681302</v>
      </c>
      <c r="J538" s="411">
        <v>16873.804345682802</v>
      </c>
      <c r="K538" s="411">
        <v>1205.2561369134601</v>
      </c>
      <c r="L538" s="411">
        <v>1041.7871900764801</v>
      </c>
      <c r="M538" s="411">
        <v>1232.68015598634</v>
      </c>
      <c r="N538" s="411">
        <v>1866.36617555418</v>
      </c>
      <c r="O538" s="411">
        <v>6664.8179178007103</v>
      </c>
      <c r="P538" s="411">
        <v>13379.6343938427</v>
      </c>
      <c r="Q538" s="411">
        <v>18396.1272704566</v>
      </c>
      <c r="R538" s="411">
        <v>16882.8139657104</v>
      </c>
      <c r="S538" s="411">
        <v>13234.6960468658</v>
      </c>
      <c r="T538" s="411">
        <v>6141.7391494906396</v>
      </c>
      <c r="U538" s="411">
        <v>3317.5102694458801</v>
      </c>
      <c r="V538" s="411">
        <v>1553.9895782255801</v>
      </c>
    </row>
    <row r="539" spans="1:22" x14ac:dyDescent="0.25">
      <c r="A539" s="416" t="s">
        <v>125</v>
      </c>
      <c r="B539" s="416" t="s">
        <v>22</v>
      </c>
      <c r="C539" s="416"/>
      <c r="D539" s="412" t="s">
        <v>666</v>
      </c>
    </row>
    <row r="540" spans="1:22" x14ac:dyDescent="0.25">
      <c r="A540" s="416" t="s">
        <v>125</v>
      </c>
      <c r="B540" s="416" t="s">
        <v>22</v>
      </c>
      <c r="C540" s="416"/>
      <c r="D540" s="414" t="s">
        <v>667</v>
      </c>
      <c r="E540" s="415">
        <v>0.34906843462946002</v>
      </c>
      <c r="F540" s="415">
        <v>0.16939007523933</v>
      </c>
      <c r="G540" s="415">
        <v>9.4024398016510996E-2</v>
      </c>
      <c r="H540" s="415">
        <v>7.9005885786712304E-2</v>
      </c>
      <c r="I540" s="415">
        <v>4.2818241030573301E-2</v>
      </c>
      <c r="J540" s="415">
        <v>5.3348528484577801E-2</v>
      </c>
      <c r="K540" s="415">
        <v>0.24690512534735301</v>
      </c>
      <c r="L540" s="415">
        <v>0.286805863570613</v>
      </c>
      <c r="M540" s="415">
        <v>0.2714755224323</v>
      </c>
      <c r="N540" s="415">
        <v>0.23977615362243901</v>
      </c>
      <c r="O540" s="415">
        <v>0.112823983088882</v>
      </c>
      <c r="P540" s="415">
        <v>3.1676324500992899E-2</v>
      </c>
      <c r="Q540" s="415">
        <v>5.1767532114618299E-2</v>
      </c>
      <c r="R540" s="415">
        <v>6.4560825100963504E-2</v>
      </c>
      <c r="S540" s="415">
        <v>0.10990553607190399</v>
      </c>
      <c r="T540" s="415">
        <v>0.18637651503338701</v>
      </c>
      <c r="U540" s="415">
        <v>0.28860955010716799</v>
      </c>
      <c r="V540" s="415">
        <v>0.33287319112658798</v>
      </c>
    </row>
    <row r="541" spans="1:22" x14ac:dyDescent="0.25">
      <c r="A541" s="416" t="s">
        <v>125</v>
      </c>
      <c r="B541" s="416" t="s">
        <v>22</v>
      </c>
      <c r="C541" s="416" t="s">
        <v>180</v>
      </c>
      <c r="D541" s="413" t="s">
        <v>668</v>
      </c>
      <c r="E541" s="411">
        <v>127.010453802738</v>
      </c>
      <c r="F541" s="411">
        <v>122.344763900673</v>
      </c>
      <c r="G541" s="411">
        <v>177.13755525346099</v>
      </c>
      <c r="H541" s="411">
        <v>274.15777391547601</v>
      </c>
      <c r="I541" s="411">
        <v>184.966133785003</v>
      </c>
      <c r="J541" s="411">
        <v>194.94189661127001</v>
      </c>
      <c r="K541" s="411">
        <v>81.819401005268901</v>
      </c>
      <c r="L541" s="411">
        <v>93.376190058673004</v>
      </c>
      <c r="M541" s="411">
        <v>97.162857247180995</v>
      </c>
      <c r="N541" s="411">
        <v>167.61953825943701</v>
      </c>
      <c r="O541" s="411">
        <v>205.32927556287601</v>
      </c>
      <c r="P541" s="411">
        <v>107.16749524746299</v>
      </c>
      <c r="Q541" s="411">
        <v>221.157584863674</v>
      </c>
      <c r="R541" s="411">
        <v>233.76293687872999</v>
      </c>
      <c r="S541" s="411">
        <v>279.41874872562698</v>
      </c>
      <c r="T541" s="411">
        <v>209.9109476516</v>
      </c>
      <c r="U541" s="411">
        <v>188.61056466001801</v>
      </c>
      <c r="V541" s="411">
        <v>127.888146418524</v>
      </c>
    </row>
    <row r="542" spans="1:22" x14ac:dyDescent="0.25">
      <c r="A542" s="416" t="s">
        <v>125</v>
      </c>
      <c r="B542" s="416" t="s">
        <v>22</v>
      </c>
      <c r="C542" s="416"/>
      <c r="D542" s="412" t="s">
        <v>669</v>
      </c>
    </row>
    <row r="543" spans="1:22" x14ac:dyDescent="0.25">
      <c r="A543" s="416" t="s">
        <v>125</v>
      </c>
      <c r="B543" s="416" t="s">
        <v>22</v>
      </c>
      <c r="C543" s="416"/>
      <c r="D543" s="414" t="s">
        <v>670</v>
      </c>
      <c r="E543" s="415">
        <v>0.67437474331106795</v>
      </c>
      <c r="F543" s="415">
        <v>0.67437474331106795</v>
      </c>
      <c r="G543" s="415">
        <v>0.67437474331106795</v>
      </c>
      <c r="H543" s="415">
        <v>0.67437474331106795</v>
      </c>
      <c r="I543" s="415">
        <v>0.67437474331106795</v>
      </c>
      <c r="J543" s="415">
        <v>0.67437474331106795</v>
      </c>
      <c r="K543" s="415">
        <v>0.67437474331106795</v>
      </c>
      <c r="L543" s="415">
        <v>0.67437474331106795</v>
      </c>
      <c r="M543" s="415">
        <v>0.67437474331106795</v>
      </c>
      <c r="N543" s="415">
        <v>0.67437474331106795</v>
      </c>
      <c r="O543" s="415">
        <v>0.67437474331106795</v>
      </c>
      <c r="P543" s="415">
        <v>0.67437474331106795</v>
      </c>
      <c r="Q543" s="415">
        <v>0.67437474331106795</v>
      </c>
      <c r="R543" s="415">
        <v>0.67437474331106795</v>
      </c>
      <c r="S543" s="415">
        <v>0.67437474331106795</v>
      </c>
      <c r="T543" s="415">
        <v>0.67437474331106795</v>
      </c>
      <c r="U543" s="415">
        <v>0.67437474331106795</v>
      </c>
      <c r="V543" s="415">
        <v>0.67437474331106795</v>
      </c>
    </row>
    <row r="544" spans="1:22" x14ac:dyDescent="0.25">
      <c r="A544" s="416" t="s">
        <v>125</v>
      </c>
      <c r="B544" s="416" t="s">
        <v>22</v>
      </c>
      <c r="C544" s="416" t="s">
        <v>424</v>
      </c>
      <c r="D544" s="413" t="s">
        <v>671</v>
      </c>
      <c r="E544" s="411">
        <v>1459.6125222341</v>
      </c>
      <c r="F544" s="411">
        <v>1494.2763280408401</v>
      </c>
      <c r="G544" s="411">
        <v>1464.8644738815599</v>
      </c>
      <c r="H544" s="411">
        <v>1499.7135563643899</v>
      </c>
      <c r="I544" s="411">
        <v>1809.27100533359</v>
      </c>
      <c r="J544" s="411">
        <v>1770.02381107275</v>
      </c>
      <c r="K544" s="411">
        <v>1786.8833167548801</v>
      </c>
      <c r="L544" s="411">
        <v>1817.39808157524</v>
      </c>
      <c r="M544" s="411">
        <v>1819.8043182189101</v>
      </c>
      <c r="N544" s="411">
        <v>1839.6356897323101</v>
      </c>
      <c r="O544" s="411">
        <v>1825.0525293411399</v>
      </c>
      <c r="P544" s="411">
        <v>1830.47606272488</v>
      </c>
      <c r="Q544" s="411">
        <v>2072.6451650713998</v>
      </c>
      <c r="R544" s="411">
        <v>2023.81303020924</v>
      </c>
      <c r="S544" s="411">
        <v>2049.1100298654801</v>
      </c>
      <c r="T544" s="411">
        <v>2011.7065879422801</v>
      </c>
      <c r="U544" s="411">
        <v>2080.77195137948</v>
      </c>
      <c r="V544" s="411">
        <v>2064.7716088842499</v>
      </c>
    </row>
    <row r="545" spans="1:22" s="57" customFormat="1" x14ac:dyDescent="0.25">
      <c r="A545" s="416" t="s">
        <v>125</v>
      </c>
      <c r="B545" s="416" t="s">
        <v>22</v>
      </c>
      <c r="C545" s="416"/>
      <c r="D545" s="614" t="s">
        <v>672</v>
      </c>
      <c r="E545" s="416">
        <v>7889.5942227527803</v>
      </c>
      <c r="F545" s="416">
        <v>10612.5300698625</v>
      </c>
      <c r="G545" s="416">
        <v>19726.0993480613</v>
      </c>
      <c r="H545" s="416">
        <v>32109.466450751999</v>
      </c>
      <c r="I545" s="416">
        <v>36890.539749777199</v>
      </c>
      <c r="J545" s="416">
        <v>33332.630047558101</v>
      </c>
      <c r="K545" s="416">
        <v>8015.1847628491896</v>
      </c>
      <c r="L545" s="416">
        <v>7876.0855167547597</v>
      </c>
      <c r="M545" s="416">
        <v>8160.6679854891099</v>
      </c>
      <c r="N545" s="416">
        <v>9867.6236510892995</v>
      </c>
      <c r="O545" s="416">
        <v>17907.1489034472</v>
      </c>
      <c r="P545" s="416">
        <v>29029.4826791468</v>
      </c>
      <c r="Q545" s="416">
        <v>36960.393295423302</v>
      </c>
      <c r="R545" s="416">
        <v>33545.472320633598</v>
      </c>
      <c r="S545" s="416">
        <v>26877.557860639401</v>
      </c>
      <c r="T545" s="416">
        <v>15606.255511855001</v>
      </c>
      <c r="U545" s="416">
        <v>11465.9738263409</v>
      </c>
      <c r="V545" s="416">
        <v>8851.9449501387007</v>
      </c>
    </row>
    <row r="546" spans="1:22" s="84" customFormat="1" x14ac:dyDescent="0.25"/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9" tint="0.39997558519241921"/>
    <pageSetUpPr fitToPage="1"/>
  </sheetPr>
  <dimension ref="A1"/>
  <sheetViews>
    <sheetView workbookViewId="0"/>
  </sheetViews>
  <sheetFormatPr defaultRowHeight="15" x14ac:dyDescent="0.25"/>
  <cols>
    <col min="3" max="3" width="14" bestFit="1" customWidth="1"/>
    <col min="5" max="5" width="17.28515625" customWidth="1"/>
    <col min="6" max="6" width="14.28515625" customWidth="1"/>
    <col min="7" max="7" width="14.7109375" customWidth="1"/>
    <col min="8" max="9" width="10.42578125" customWidth="1"/>
    <col min="10" max="10" width="14.42578125" bestFit="1" customWidth="1"/>
    <col min="11" max="11" width="11.140625" bestFit="1" customWidth="1"/>
    <col min="12" max="12" width="13.5703125" bestFit="1" customWidth="1"/>
    <col min="13" max="13" width="11.5703125" customWidth="1"/>
    <col min="14" max="14" width="13.28515625" customWidth="1"/>
    <col min="17" max="17" width="10.28515625" customWidth="1"/>
    <col min="19" max="19" width="14.42578125" bestFit="1" customWidth="1"/>
    <col min="20" max="20" width="11.28515625" customWidth="1"/>
  </cols>
  <sheetData/>
  <pageMargins left="0.7" right="0.7" top="0.75" bottom="0.75" header="0.3" footer="0.3"/>
  <pageSetup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9" tint="0.39997558519241921"/>
    <pageSetUpPr fitToPage="1"/>
  </sheetPr>
  <dimension ref="A2:T76"/>
  <sheetViews>
    <sheetView topLeftCell="B35" workbookViewId="0">
      <selection activeCell="Q54" sqref="Q54"/>
    </sheetView>
  </sheetViews>
  <sheetFormatPr defaultColWidth="9.140625" defaultRowHeight="15" x14ac:dyDescent="0.25"/>
  <cols>
    <col min="1" max="1" width="34" style="57" bestFit="1" customWidth="1"/>
    <col min="2" max="2" width="15.7109375" style="57" bestFit="1" customWidth="1"/>
    <col min="3" max="3" width="9.140625" style="57"/>
    <col min="4" max="4" width="24" style="57" bestFit="1" customWidth="1"/>
    <col min="5" max="5" width="57.5703125" style="57" customWidth="1"/>
    <col min="6" max="7" width="10.42578125" style="57" customWidth="1"/>
    <col min="8" max="8" width="12" style="57" customWidth="1"/>
    <col min="9" max="9" width="12.140625" style="57" customWidth="1"/>
    <col min="10" max="10" width="10.7109375" style="57" bestFit="1" customWidth="1"/>
    <col min="11" max="11" width="10.7109375" style="57" customWidth="1"/>
    <col min="12" max="12" width="9.140625" style="57"/>
    <col min="13" max="13" width="11.140625" style="57" customWidth="1"/>
    <col min="14" max="14" width="13.5703125" style="57" customWidth="1"/>
    <col min="15" max="15" width="34" style="57" bestFit="1" customWidth="1"/>
    <col min="16" max="16" width="8.28515625" style="57" bestFit="1" customWidth="1"/>
    <col min="17" max="17" width="18.28515625" style="57" bestFit="1" customWidth="1"/>
    <col min="18" max="18" width="35.28515625" style="57" bestFit="1" customWidth="1"/>
    <col min="19" max="19" width="27.7109375" style="57" bestFit="1" customWidth="1"/>
    <col min="20" max="16384" width="9.140625" style="57"/>
  </cols>
  <sheetData>
    <row r="2" spans="1:14" x14ac:dyDescent="0.25">
      <c r="B2" s="57">
        <v>1</v>
      </c>
      <c r="C2" s="57">
        <f>+B2+1</f>
        <v>2</v>
      </c>
      <c r="D2" s="57">
        <f t="shared" ref="D2:L2" si="0">+C2+1</f>
        <v>3</v>
      </c>
      <c r="E2" s="57">
        <f t="shared" si="0"/>
        <v>4</v>
      </c>
      <c r="F2" s="57">
        <f t="shared" si="0"/>
        <v>5</v>
      </c>
      <c r="G2" s="57">
        <f t="shared" si="0"/>
        <v>6</v>
      </c>
      <c r="H2" s="57">
        <f t="shared" si="0"/>
        <v>7</v>
      </c>
      <c r="I2" s="57">
        <f t="shared" si="0"/>
        <v>8</v>
      </c>
      <c r="J2" s="57">
        <f t="shared" si="0"/>
        <v>9</v>
      </c>
      <c r="K2" s="57">
        <f t="shared" si="0"/>
        <v>10</v>
      </c>
      <c r="L2" s="57">
        <f t="shared" si="0"/>
        <v>11</v>
      </c>
      <c r="M2" s="57">
        <v>12</v>
      </c>
      <c r="N2" s="57">
        <v>13</v>
      </c>
    </row>
    <row r="3" spans="1:14" ht="15.75" thickBot="1" x14ac:dyDescent="0.3">
      <c r="F3" s="834" t="s">
        <v>476</v>
      </c>
      <c r="G3" s="834"/>
      <c r="H3" s="834"/>
      <c r="I3" s="834"/>
      <c r="J3" s="834"/>
      <c r="K3" s="834"/>
      <c r="L3" s="834"/>
    </row>
    <row r="4" spans="1:14" x14ac:dyDescent="0.25">
      <c r="B4" s="270" t="s">
        <v>326</v>
      </c>
    </row>
    <row r="5" spans="1:14" ht="15.75" thickBot="1" x14ac:dyDescent="0.3">
      <c r="B5" s="271" t="s">
        <v>327</v>
      </c>
      <c r="H5" s="816" t="s">
        <v>3</v>
      </c>
      <c r="I5" s="816" t="s">
        <v>3</v>
      </c>
      <c r="J5" s="384"/>
      <c r="K5" s="384"/>
      <c r="L5" s="816" t="s">
        <v>3</v>
      </c>
    </row>
    <row r="6" spans="1:14" ht="30" x14ac:dyDescent="0.25">
      <c r="B6" s="272" t="s">
        <v>1</v>
      </c>
      <c r="C6" s="273" t="s">
        <v>152</v>
      </c>
      <c r="D6" s="274" t="s">
        <v>153</v>
      </c>
      <c r="E6" s="57" t="s">
        <v>52</v>
      </c>
      <c r="F6" s="11" t="s">
        <v>154</v>
      </c>
      <c r="G6" s="11" t="s">
        <v>154</v>
      </c>
      <c r="H6" s="12" t="s">
        <v>410</v>
      </c>
      <c r="I6" s="12" t="s">
        <v>411</v>
      </c>
      <c r="J6" s="11" t="s">
        <v>155</v>
      </c>
      <c r="K6" s="12" t="s">
        <v>156</v>
      </c>
      <c r="L6" s="12" t="s">
        <v>157</v>
      </c>
      <c r="M6" s="275"/>
    </row>
    <row r="7" spans="1:14" x14ac:dyDescent="0.25">
      <c r="A7" s="57" t="s">
        <v>102</v>
      </c>
      <c r="B7" s="57" t="s">
        <v>5</v>
      </c>
      <c r="C7" s="276" t="str">
        <f t="shared" ref="C7:C34" si="1">MID(B7,6,3)</f>
        <v>865</v>
      </c>
      <c r="D7" s="57" t="s">
        <v>102</v>
      </c>
      <c r="E7" s="57" t="s">
        <v>6</v>
      </c>
      <c r="F7" s="277">
        <v>400</v>
      </c>
      <c r="G7" s="277"/>
      <c r="H7" s="57">
        <v>7.009E-2</v>
      </c>
    </row>
    <row r="8" spans="1:14" x14ac:dyDescent="0.25">
      <c r="B8" s="57" t="s">
        <v>65</v>
      </c>
      <c r="C8" s="276" t="str">
        <f t="shared" si="1"/>
        <v>891</v>
      </c>
      <c r="D8" s="57" t="s">
        <v>477</v>
      </c>
      <c r="E8" s="57" t="s">
        <v>406</v>
      </c>
      <c r="F8" s="277">
        <v>400</v>
      </c>
      <c r="G8" s="277"/>
      <c r="H8" s="57">
        <v>7.009E-2</v>
      </c>
      <c r="J8" s="277">
        <v>550</v>
      </c>
    </row>
    <row r="9" spans="1:14" x14ac:dyDescent="0.25">
      <c r="A9" s="59"/>
      <c r="B9" s="57" t="s">
        <v>68</v>
      </c>
      <c r="C9" s="276" t="str">
        <f t="shared" si="1"/>
        <v>891</v>
      </c>
      <c r="D9" s="59" t="s">
        <v>478</v>
      </c>
      <c r="E9" s="57" t="s">
        <v>407</v>
      </c>
      <c r="F9" s="277"/>
      <c r="J9" s="277">
        <v>75</v>
      </c>
    </row>
    <row r="10" spans="1:14" x14ac:dyDescent="0.25">
      <c r="A10" s="187" t="s">
        <v>112</v>
      </c>
      <c r="B10" s="57" t="s">
        <v>9</v>
      </c>
      <c r="C10" s="276" t="str">
        <f t="shared" si="1"/>
        <v>866</v>
      </c>
      <c r="D10" s="187" t="s">
        <v>112</v>
      </c>
      <c r="E10" s="57" t="s">
        <v>510</v>
      </c>
      <c r="F10" s="277">
        <v>400</v>
      </c>
      <c r="H10" s="57">
        <v>7.009E-2</v>
      </c>
    </row>
    <row r="11" spans="1:14" x14ac:dyDescent="0.25">
      <c r="A11" s="187"/>
      <c r="B11" s="57" t="s">
        <v>474</v>
      </c>
      <c r="C11" s="276" t="str">
        <f t="shared" ref="C11" si="2">MID(B11,6,3)</f>
        <v>866</v>
      </c>
      <c r="D11" s="187" t="s">
        <v>112</v>
      </c>
      <c r="E11" s="57" t="s">
        <v>10</v>
      </c>
      <c r="F11" s="277">
        <v>400</v>
      </c>
      <c r="H11" s="57">
        <v>7.009E-2</v>
      </c>
    </row>
    <row r="12" spans="1:14" x14ac:dyDescent="0.25">
      <c r="A12" s="59" t="s">
        <v>479</v>
      </c>
      <c r="B12" s="57" t="s">
        <v>87</v>
      </c>
      <c r="C12" s="276" t="str">
        <f t="shared" si="1"/>
        <v>892</v>
      </c>
      <c r="D12" s="59" t="s">
        <v>479</v>
      </c>
      <c r="E12" s="57" t="s">
        <v>408</v>
      </c>
      <c r="F12" s="277">
        <v>400</v>
      </c>
      <c r="H12" s="57">
        <v>7.009E-2</v>
      </c>
      <c r="J12" s="277">
        <v>550</v>
      </c>
    </row>
    <row r="13" spans="1:14" x14ac:dyDescent="0.25">
      <c r="A13" s="59"/>
      <c r="B13" s="57" t="s">
        <v>512</v>
      </c>
      <c r="C13" s="276" t="str">
        <f t="shared" si="1"/>
        <v>892</v>
      </c>
      <c r="D13" s="59" t="s">
        <v>479</v>
      </c>
      <c r="E13" s="57" t="s">
        <v>408</v>
      </c>
      <c r="F13" s="277">
        <v>400</v>
      </c>
      <c r="H13" s="57">
        <v>7.009E-2</v>
      </c>
      <c r="J13" s="277">
        <v>550</v>
      </c>
    </row>
    <row r="14" spans="1:14" x14ac:dyDescent="0.25">
      <c r="A14" s="59"/>
      <c r="B14" s="57" t="s">
        <v>90</v>
      </c>
      <c r="C14" s="276" t="str">
        <f t="shared" si="1"/>
        <v>892</v>
      </c>
      <c r="D14" s="59" t="s">
        <v>480</v>
      </c>
      <c r="E14" s="57" t="s">
        <v>409</v>
      </c>
      <c r="F14" s="277"/>
      <c r="J14" s="277">
        <v>75</v>
      </c>
    </row>
    <row r="15" spans="1:14" x14ac:dyDescent="0.25">
      <c r="A15" s="57" t="s">
        <v>101</v>
      </c>
      <c r="B15" s="57" t="s">
        <v>13</v>
      </c>
      <c r="C15" s="276" t="str">
        <f t="shared" si="1"/>
        <v>851</v>
      </c>
      <c r="D15" s="57" t="s">
        <v>101</v>
      </c>
      <c r="E15" s="57" t="s">
        <v>14</v>
      </c>
      <c r="F15" s="277">
        <v>40</v>
      </c>
      <c r="G15" s="277">
        <v>180</v>
      </c>
      <c r="H15" s="57">
        <v>0.21504000000000001</v>
      </c>
      <c r="I15" s="57">
        <f>+H15-0.05</f>
        <v>0.16504000000000002</v>
      </c>
    </row>
    <row r="16" spans="1:14" x14ac:dyDescent="0.25">
      <c r="A16" s="187"/>
      <c r="B16" s="57" t="s">
        <v>16</v>
      </c>
      <c r="C16" s="276" t="str">
        <f t="shared" si="1"/>
        <v>861</v>
      </c>
      <c r="D16" s="187" t="s">
        <v>101</v>
      </c>
      <c r="E16" s="57" t="s">
        <v>17</v>
      </c>
      <c r="F16" s="277">
        <v>40</v>
      </c>
      <c r="G16" s="277">
        <v>180</v>
      </c>
      <c r="H16" s="57">
        <v>0.21504000000000001</v>
      </c>
      <c r="I16" s="57">
        <f>+H16-0.05</f>
        <v>0.16504000000000002</v>
      </c>
    </row>
    <row r="17" spans="1:12" x14ac:dyDescent="0.25">
      <c r="A17" s="59" t="s">
        <v>104</v>
      </c>
      <c r="B17" s="57" t="s">
        <v>28</v>
      </c>
      <c r="C17" s="276" t="str">
        <f t="shared" si="1"/>
        <v>881</v>
      </c>
      <c r="D17" s="59" t="s">
        <v>481</v>
      </c>
      <c r="E17" s="57" t="s">
        <v>412</v>
      </c>
      <c r="F17" s="277">
        <v>40</v>
      </c>
      <c r="G17" s="277">
        <v>180</v>
      </c>
      <c r="H17" s="57">
        <v>0.21504000000000001</v>
      </c>
      <c r="I17" s="57">
        <f>+H17-0.05</f>
        <v>0.16504000000000002</v>
      </c>
      <c r="J17" s="277">
        <v>550</v>
      </c>
    </row>
    <row r="18" spans="1:12" x14ac:dyDescent="0.25">
      <c r="A18" s="59" t="s">
        <v>105</v>
      </c>
      <c r="B18" s="57" t="s">
        <v>62</v>
      </c>
      <c r="C18" s="276" t="str">
        <f t="shared" si="1"/>
        <v>881</v>
      </c>
      <c r="D18" s="59" t="s">
        <v>482</v>
      </c>
      <c r="E18" s="57" t="s">
        <v>64</v>
      </c>
      <c r="J18" s="277">
        <v>75</v>
      </c>
    </row>
    <row r="19" spans="1:12" x14ac:dyDescent="0.25">
      <c r="A19" s="59" t="s">
        <v>428</v>
      </c>
      <c r="B19" s="57" t="s">
        <v>429</v>
      </c>
      <c r="C19" s="276" t="str">
        <f t="shared" si="1"/>
        <v>851</v>
      </c>
      <c r="D19" s="59" t="s">
        <v>101</v>
      </c>
      <c r="E19" s="57" t="s">
        <v>430</v>
      </c>
      <c r="F19" s="277">
        <v>40</v>
      </c>
      <c r="G19" s="277">
        <v>180</v>
      </c>
      <c r="H19" s="57">
        <v>0.21504000000000001</v>
      </c>
      <c r="I19" s="57">
        <f>+H19-0.05</f>
        <v>0.16504000000000002</v>
      </c>
      <c r="J19" s="277"/>
    </row>
    <row r="20" spans="1:12" x14ac:dyDescent="0.25">
      <c r="A20" s="57" t="s">
        <v>103</v>
      </c>
      <c r="B20" s="57" t="s">
        <v>58</v>
      </c>
      <c r="C20" s="276" t="str">
        <f t="shared" si="1"/>
        <v>875</v>
      </c>
      <c r="D20" s="57" t="s">
        <v>103</v>
      </c>
      <c r="E20" s="57" t="s">
        <v>59</v>
      </c>
      <c r="F20" s="277">
        <v>40</v>
      </c>
      <c r="G20" s="277">
        <v>180</v>
      </c>
      <c r="H20" s="278">
        <v>3.329E-2</v>
      </c>
      <c r="L20" s="57">
        <v>1.1263000000000001</v>
      </c>
    </row>
    <row r="21" spans="1:12" x14ac:dyDescent="0.25">
      <c r="A21" s="59" t="s">
        <v>108</v>
      </c>
      <c r="B21" s="57" t="s">
        <v>41</v>
      </c>
      <c r="C21" s="276" t="str">
        <f t="shared" si="1"/>
        <v>895</v>
      </c>
      <c r="D21" s="59" t="s">
        <v>108</v>
      </c>
      <c r="E21" s="57" t="s">
        <v>42</v>
      </c>
      <c r="F21" s="277"/>
      <c r="H21" s="278">
        <v>4.3020000000000003E-2</v>
      </c>
      <c r="J21" s="277">
        <v>550</v>
      </c>
      <c r="K21" s="57">
        <v>1.8329999999999999E-2</v>
      </c>
    </row>
    <row r="22" spans="1:12" x14ac:dyDescent="0.25">
      <c r="A22" s="59" t="s">
        <v>109</v>
      </c>
      <c r="B22" s="57" t="s">
        <v>72</v>
      </c>
      <c r="C22" s="276" t="str">
        <f t="shared" si="1"/>
        <v>895</v>
      </c>
      <c r="D22" s="59" t="s">
        <v>109</v>
      </c>
      <c r="E22" s="57" t="s">
        <v>74</v>
      </c>
      <c r="H22" s="278"/>
      <c r="J22" s="277"/>
    </row>
    <row r="23" spans="1:12" x14ac:dyDescent="0.25">
      <c r="A23" s="59" t="s">
        <v>117</v>
      </c>
      <c r="B23" s="57" t="s">
        <v>43</v>
      </c>
      <c r="C23" s="276" t="str">
        <f t="shared" si="1"/>
        <v>896</v>
      </c>
      <c r="D23" s="59" t="s">
        <v>117</v>
      </c>
      <c r="E23" s="57" t="s">
        <v>44</v>
      </c>
      <c r="H23" s="278">
        <v>4.3020000000000003E-2</v>
      </c>
      <c r="J23" s="277">
        <v>550</v>
      </c>
      <c r="K23" s="57">
        <v>1.8329999999999999E-2</v>
      </c>
    </row>
    <row r="24" spans="1:12" x14ac:dyDescent="0.25">
      <c r="A24" s="59" t="s">
        <v>117</v>
      </c>
      <c r="B24" s="57" t="s">
        <v>495</v>
      </c>
      <c r="C24" s="276" t="str">
        <f t="shared" ref="C24" si="3">MID(B24,6,3)</f>
        <v>896</v>
      </c>
      <c r="D24" s="59" t="s">
        <v>117</v>
      </c>
      <c r="E24" s="57" t="s">
        <v>44</v>
      </c>
      <c r="H24" s="278">
        <v>4.3020000000000003E-2</v>
      </c>
      <c r="J24" s="277">
        <v>550</v>
      </c>
      <c r="K24" s="57">
        <v>1.8329999999999999E-2</v>
      </c>
    </row>
    <row r="25" spans="1:12" x14ac:dyDescent="0.25">
      <c r="A25" s="59" t="s">
        <v>120</v>
      </c>
      <c r="B25" s="57" t="s">
        <v>45</v>
      </c>
      <c r="C25" s="276" t="str">
        <f t="shared" si="1"/>
        <v>896</v>
      </c>
      <c r="D25" s="59" t="s">
        <v>120</v>
      </c>
      <c r="E25" s="57" t="s">
        <v>46</v>
      </c>
      <c r="J25" s="277">
        <v>75</v>
      </c>
    </row>
    <row r="26" spans="1:12" x14ac:dyDescent="0.25">
      <c r="A26" s="187" t="s">
        <v>111</v>
      </c>
      <c r="B26" s="57" t="s">
        <v>18</v>
      </c>
      <c r="C26" s="276" t="str">
        <f t="shared" si="1"/>
        <v>855</v>
      </c>
      <c r="D26" s="187" t="s">
        <v>509</v>
      </c>
      <c r="E26" s="57" t="s">
        <v>19</v>
      </c>
      <c r="F26" s="277">
        <v>40</v>
      </c>
      <c r="G26" s="277">
        <v>180</v>
      </c>
      <c r="H26" s="57">
        <v>0.22778999999999999</v>
      </c>
      <c r="I26" s="57">
        <f>+H26-0.05</f>
        <v>0.17779</v>
      </c>
    </row>
    <row r="27" spans="1:12" x14ac:dyDescent="0.25">
      <c r="A27" s="187" t="s">
        <v>111</v>
      </c>
      <c r="B27" s="57" t="s">
        <v>475</v>
      </c>
      <c r="C27" s="276" t="str">
        <f t="shared" ref="C27" si="4">MID(B27,6,3)</f>
        <v>855</v>
      </c>
      <c r="D27" s="187" t="s">
        <v>111</v>
      </c>
      <c r="E27" s="57" t="s">
        <v>19</v>
      </c>
      <c r="F27" s="277">
        <v>40</v>
      </c>
      <c r="G27" s="277">
        <v>180</v>
      </c>
      <c r="H27" s="57">
        <v>0.22778999999999999</v>
      </c>
      <c r="I27" s="57">
        <f>+H27-0.05</f>
        <v>0.17779</v>
      </c>
    </row>
    <row r="28" spans="1:12" x14ac:dyDescent="0.25">
      <c r="A28" s="59" t="s">
        <v>483</v>
      </c>
      <c r="B28" s="57" t="s">
        <v>31</v>
      </c>
      <c r="C28" s="276" t="str">
        <f t="shared" si="1"/>
        <v>882</v>
      </c>
      <c r="D28" s="59" t="s">
        <v>483</v>
      </c>
      <c r="E28" s="57" t="s">
        <v>413</v>
      </c>
      <c r="F28" s="277">
        <v>40</v>
      </c>
      <c r="G28" s="277">
        <v>180</v>
      </c>
      <c r="H28" s="57">
        <v>0.22778999999999999</v>
      </c>
      <c r="I28" s="57">
        <f>+H28-0.05</f>
        <v>0.17779</v>
      </c>
      <c r="J28" s="277">
        <v>550</v>
      </c>
    </row>
    <row r="29" spans="1:12" x14ac:dyDescent="0.25">
      <c r="A29" s="59" t="s">
        <v>483</v>
      </c>
      <c r="B29" s="57" t="s">
        <v>511</v>
      </c>
      <c r="C29" s="276" t="str">
        <f t="shared" si="1"/>
        <v>882</v>
      </c>
      <c r="D29" s="59" t="s">
        <v>483</v>
      </c>
      <c r="E29" s="57" t="s">
        <v>413</v>
      </c>
      <c r="F29" s="277">
        <v>40</v>
      </c>
      <c r="G29" s="277">
        <v>180</v>
      </c>
      <c r="H29" s="57">
        <v>0.22778999999999999</v>
      </c>
      <c r="I29" s="57">
        <f>+H29-0.05</f>
        <v>0.17779</v>
      </c>
      <c r="J29" s="277">
        <v>550</v>
      </c>
    </row>
    <row r="30" spans="1:12" x14ac:dyDescent="0.25">
      <c r="A30" s="59" t="s">
        <v>607</v>
      </c>
      <c r="B30" s="57" t="s">
        <v>84</v>
      </c>
      <c r="C30" s="276" t="str">
        <f t="shared" si="1"/>
        <v>882</v>
      </c>
      <c r="D30" s="59" t="s">
        <v>484</v>
      </c>
      <c r="E30" s="57" t="s">
        <v>414</v>
      </c>
      <c r="J30" s="277">
        <v>75</v>
      </c>
    </row>
    <row r="31" spans="1:12" x14ac:dyDescent="0.25">
      <c r="A31" s="187" t="s">
        <v>125</v>
      </c>
      <c r="B31" s="57" t="s">
        <v>22</v>
      </c>
      <c r="C31" s="276" t="str">
        <f t="shared" si="1"/>
        <v>811</v>
      </c>
      <c r="D31" s="187" t="s">
        <v>125</v>
      </c>
      <c r="E31" s="57" t="s">
        <v>23</v>
      </c>
      <c r="F31" s="277">
        <v>13.5</v>
      </c>
      <c r="G31" s="277"/>
      <c r="H31" s="57">
        <v>0.28693000000000002</v>
      </c>
    </row>
    <row r="32" spans="1:12" ht="15" customHeight="1" x14ac:dyDescent="0.25">
      <c r="A32" s="187"/>
      <c r="B32" s="57" t="s">
        <v>26</v>
      </c>
      <c r="C32" s="276" t="str">
        <f t="shared" si="1"/>
        <v>840</v>
      </c>
      <c r="D32" s="187" t="s">
        <v>125</v>
      </c>
      <c r="E32" s="57" t="s">
        <v>27</v>
      </c>
      <c r="F32" s="277">
        <v>13.5</v>
      </c>
      <c r="G32" s="277"/>
      <c r="H32" s="57">
        <v>0.28693000000000002</v>
      </c>
    </row>
    <row r="33" spans="1:20" x14ac:dyDescent="0.25">
      <c r="A33" s="187" t="s">
        <v>124</v>
      </c>
      <c r="B33" s="57" t="s">
        <v>34</v>
      </c>
      <c r="C33" s="276" t="str">
        <f t="shared" si="1"/>
        <v>996</v>
      </c>
      <c r="D33" s="187" t="s">
        <v>124</v>
      </c>
      <c r="E33" s="57" t="s">
        <v>35</v>
      </c>
      <c r="F33" s="277">
        <v>180</v>
      </c>
      <c r="H33" s="278">
        <v>3.329E-2</v>
      </c>
      <c r="L33" s="57">
        <v>1.12629</v>
      </c>
    </row>
    <row r="34" spans="1:20" x14ac:dyDescent="0.25">
      <c r="A34" s="187" t="s">
        <v>765</v>
      </c>
      <c r="B34" s="57" t="s">
        <v>51</v>
      </c>
      <c r="C34" s="276" t="str">
        <f t="shared" si="1"/>
        <v>997</v>
      </c>
      <c r="D34" s="187" t="s">
        <v>764</v>
      </c>
      <c r="E34" s="57" t="s">
        <v>756</v>
      </c>
      <c r="F34" s="277">
        <v>800</v>
      </c>
      <c r="H34" s="57">
        <v>4.9699999999999996E-3</v>
      </c>
      <c r="K34" s="57">
        <v>1.8329999999999999E-2</v>
      </c>
      <c r="L34" s="57">
        <v>0.24801000000000001</v>
      </c>
    </row>
    <row r="39" spans="1:20" x14ac:dyDescent="0.25">
      <c r="B39" s="815">
        <v>1</v>
      </c>
      <c r="C39" s="815">
        <f t="shared" ref="C39:L39" si="5">+B39+1</f>
        <v>2</v>
      </c>
      <c r="D39" s="815">
        <f t="shared" si="5"/>
        <v>3</v>
      </c>
      <c r="E39" s="815">
        <f t="shared" si="5"/>
        <v>4</v>
      </c>
      <c r="F39" s="815">
        <f t="shared" si="5"/>
        <v>5</v>
      </c>
      <c r="G39" s="815">
        <f t="shared" si="5"/>
        <v>6</v>
      </c>
      <c r="H39" s="815">
        <f t="shared" si="5"/>
        <v>7</v>
      </c>
      <c r="I39" s="815">
        <f t="shared" si="5"/>
        <v>8</v>
      </c>
      <c r="J39" s="815">
        <f t="shared" si="5"/>
        <v>9</v>
      </c>
      <c r="K39" s="815">
        <f t="shared" si="5"/>
        <v>10</v>
      </c>
      <c r="L39" s="815">
        <f t="shared" si="5"/>
        <v>11</v>
      </c>
      <c r="M39" s="815"/>
      <c r="N39" s="815"/>
      <c r="O39" s="815" t="e">
        <f>+#REF!+1</f>
        <v>#REF!</v>
      </c>
    </row>
    <row r="40" spans="1:20" x14ac:dyDescent="0.25">
      <c r="B40" s="251"/>
      <c r="C40" s="251"/>
      <c r="D40" s="251"/>
      <c r="E40" s="251"/>
      <c r="F40" s="834" t="s">
        <v>476</v>
      </c>
      <c r="G40" s="834"/>
      <c r="H40" s="834"/>
      <c r="I40" s="834"/>
      <c r="J40" s="834"/>
      <c r="K40" s="834"/>
      <c r="L40" s="834"/>
      <c r="M40" s="251"/>
      <c r="N40" s="251"/>
    </row>
    <row r="41" spans="1:20" x14ac:dyDescent="0.25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</row>
    <row r="42" spans="1:20" x14ac:dyDescent="0.25">
      <c r="A42" s="251"/>
      <c r="B42" s="251"/>
      <c r="C42" s="251"/>
      <c r="D42" s="251"/>
      <c r="E42" s="251"/>
      <c r="F42" s="251"/>
      <c r="G42" s="251"/>
      <c r="H42" s="817" t="s">
        <v>147</v>
      </c>
      <c r="I42" s="817" t="s">
        <v>147</v>
      </c>
      <c r="J42" s="251"/>
      <c r="K42" s="251"/>
      <c r="L42" s="817" t="s">
        <v>147</v>
      </c>
      <c r="M42" s="251"/>
      <c r="N42" s="251"/>
    </row>
    <row r="43" spans="1:20" ht="37.5" customHeight="1" x14ac:dyDescent="0.35">
      <c r="A43" s="818" t="s">
        <v>335</v>
      </c>
      <c r="B43" s="251"/>
      <c r="C43" s="819"/>
      <c r="D43" s="251"/>
      <c r="E43" s="251"/>
      <c r="F43" s="89" t="s">
        <v>385</v>
      </c>
      <c r="G43" s="90" t="s">
        <v>494</v>
      </c>
      <c r="H43" s="12" t="s">
        <v>410</v>
      </c>
      <c r="I43" s="12" t="s">
        <v>411</v>
      </c>
      <c r="J43" s="89" t="s">
        <v>339</v>
      </c>
      <c r="K43" s="89" t="s">
        <v>156</v>
      </c>
      <c r="L43" s="89" t="s">
        <v>157</v>
      </c>
      <c r="M43" s="251"/>
      <c r="N43" s="251"/>
    </row>
    <row r="44" spans="1:20" x14ac:dyDescent="0.25">
      <c r="A44" s="820" t="s">
        <v>338</v>
      </c>
      <c r="B44" s="821" t="s">
        <v>1</v>
      </c>
      <c r="C44" s="251"/>
      <c r="D44" s="822" t="s">
        <v>153</v>
      </c>
      <c r="E44" s="820" t="s">
        <v>52</v>
      </c>
      <c r="F44" s="820"/>
      <c r="G44" s="820"/>
      <c r="H44" s="820"/>
      <c r="I44" s="820"/>
      <c r="J44" s="820"/>
      <c r="K44" s="820"/>
      <c r="L44" s="820"/>
      <c r="M44" s="251"/>
      <c r="N44" s="251"/>
      <c r="O44" s="820" t="s">
        <v>338</v>
      </c>
    </row>
    <row r="45" spans="1:20" x14ac:dyDescent="0.25">
      <c r="A45" s="251" t="s">
        <v>489</v>
      </c>
      <c r="B45" s="57" t="s">
        <v>31</v>
      </c>
      <c r="C45" s="251"/>
      <c r="D45" s="59" t="s">
        <v>113</v>
      </c>
      <c r="E45" s="57" t="s">
        <v>493</v>
      </c>
      <c r="F45" s="277">
        <f>G28</f>
        <v>180</v>
      </c>
      <c r="G45" s="277">
        <v>550</v>
      </c>
      <c r="H45" s="57">
        <f>H28*10</f>
        <v>2.2778999999999998</v>
      </c>
      <c r="I45" s="57">
        <f>H45-0.5</f>
        <v>1.7778999999999998</v>
      </c>
      <c r="J45" s="277"/>
      <c r="K45" s="251"/>
      <c r="L45" s="251"/>
      <c r="M45" s="251"/>
      <c r="N45" s="251"/>
      <c r="O45" s="251" t="s">
        <v>33</v>
      </c>
      <c r="Q45" s="85"/>
      <c r="R45" s="85"/>
      <c r="S45" s="85"/>
      <c r="T45" s="86"/>
    </row>
    <row r="46" spans="1:20" x14ac:dyDescent="0.25">
      <c r="A46" s="251" t="s">
        <v>488</v>
      </c>
      <c r="B46" s="57" t="s">
        <v>28</v>
      </c>
      <c r="C46" s="251"/>
      <c r="D46" s="59" t="s">
        <v>104</v>
      </c>
      <c r="E46" s="57" t="s">
        <v>492</v>
      </c>
      <c r="F46" s="277">
        <f>G17</f>
        <v>180</v>
      </c>
      <c r="G46" s="277">
        <v>550</v>
      </c>
      <c r="H46" s="57">
        <f>H17*10</f>
        <v>2.1504000000000003</v>
      </c>
      <c r="I46" s="57">
        <f>H46-0.5</f>
        <v>1.6504000000000003</v>
      </c>
      <c r="J46" s="277"/>
      <c r="K46" s="251"/>
      <c r="L46" s="251"/>
      <c r="M46" s="251"/>
      <c r="N46" s="251"/>
      <c r="O46" s="251" t="s">
        <v>30</v>
      </c>
      <c r="Q46" s="85"/>
      <c r="R46" s="85"/>
      <c r="S46" s="85"/>
      <c r="T46" s="86"/>
    </row>
    <row r="47" spans="1:20" x14ac:dyDescent="0.25">
      <c r="A47" s="251" t="s">
        <v>329</v>
      </c>
      <c r="B47" s="57" t="s">
        <v>41</v>
      </c>
      <c r="C47" s="251"/>
      <c r="D47" s="59" t="s">
        <v>108</v>
      </c>
      <c r="E47" s="57" t="s">
        <v>42</v>
      </c>
      <c r="G47" s="277">
        <v>550</v>
      </c>
      <c r="H47" s="87">
        <f>H21*10</f>
        <v>0.43020000000000003</v>
      </c>
      <c r="I47" s="251"/>
      <c r="J47" s="251"/>
      <c r="K47" s="87">
        <v>0.18329999999999999</v>
      </c>
      <c r="L47" s="251"/>
      <c r="M47" s="251"/>
      <c r="N47" s="251"/>
      <c r="O47" s="251" t="s">
        <v>329</v>
      </c>
      <c r="Q47" s="85"/>
      <c r="R47" s="85"/>
      <c r="S47" s="85"/>
      <c r="T47" s="86"/>
    </row>
    <row r="48" spans="1:20" x14ac:dyDescent="0.25">
      <c r="A48" s="251" t="s">
        <v>329</v>
      </c>
      <c r="B48" s="57" t="s">
        <v>72</v>
      </c>
      <c r="C48" s="251"/>
      <c r="D48" s="59" t="s">
        <v>109</v>
      </c>
      <c r="E48" s="57" t="s">
        <v>42</v>
      </c>
      <c r="G48" s="277"/>
      <c r="H48" s="87"/>
      <c r="I48" s="251"/>
      <c r="J48" s="277">
        <v>75</v>
      </c>
      <c r="K48" s="87"/>
      <c r="L48" s="251"/>
      <c r="M48" s="251"/>
      <c r="N48" s="251"/>
      <c r="O48" s="251" t="s">
        <v>329</v>
      </c>
      <c r="Q48" s="85"/>
      <c r="R48" s="85"/>
      <c r="S48" s="85"/>
      <c r="T48" s="86"/>
    </row>
    <row r="49" spans="1:20" x14ac:dyDescent="0.25">
      <c r="A49" s="251" t="s">
        <v>330</v>
      </c>
      <c r="B49" s="57" t="s">
        <v>43</v>
      </c>
      <c r="C49" s="251"/>
      <c r="D49" s="59" t="s">
        <v>117</v>
      </c>
      <c r="E49" s="57" t="s">
        <v>44</v>
      </c>
      <c r="G49" s="277">
        <v>550</v>
      </c>
      <c r="H49" s="87">
        <f>H23*10</f>
        <v>0.43020000000000003</v>
      </c>
      <c r="I49" s="251"/>
      <c r="J49" s="251"/>
      <c r="K49" s="87">
        <v>0.18329999999999999</v>
      </c>
      <c r="L49" s="251"/>
      <c r="M49" s="251"/>
      <c r="N49" s="251"/>
      <c r="O49" s="251" t="s">
        <v>330</v>
      </c>
      <c r="Q49" s="85"/>
      <c r="R49" s="85"/>
      <c r="S49" s="85"/>
      <c r="T49" s="86"/>
    </row>
    <row r="50" spans="1:20" x14ac:dyDescent="0.25">
      <c r="A50" s="251" t="s">
        <v>331</v>
      </c>
      <c r="B50" s="57" t="s">
        <v>45</v>
      </c>
      <c r="C50" s="251"/>
      <c r="D50" s="59" t="s">
        <v>120</v>
      </c>
      <c r="E50" s="57" t="s">
        <v>46</v>
      </c>
      <c r="F50" s="277"/>
      <c r="G50" s="251"/>
      <c r="H50" s="87"/>
      <c r="I50" s="251"/>
      <c r="J50" s="277">
        <f>J25</f>
        <v>75</v>
      </c>
      <c r="K50" s="87">
        <v>0.18329999999999999</v>
      </c>
      <c r="L50" s="251"/>
      <c r="M50" s="251"/>
      <c r="N50" s="251"/>
      <c r="O50" s="251" t="s">
        <v>331</v>
      </c>
      <c r="Q50" s="85"/>
      <c r="R50" s="85"/>
      <c r="S50" s="85"/>
      <c r="T50" s="86"/>
    </row>
    <row r="51" spans="1:20" x14ac:dyDescent="0.25">
      <c r="A51" s="251" t="s">
        <v>332</v>
      </c>
      <c r="B51" s="57" t="s">
        <v>43</v>
      </c>
      <c r="C51" s="251"/>
      <c r="D51" s="59" t="s">
        <v>117</v>
      </c>
      <c r="E51" s="57" t="s">
        <v>44</v>
      </c>
      <c r="G51" s="277">
        <v>550</v>
      </c>
      <c r="H51" s="87">
        <f>H23*10</f>
        <v>0.43020000000000003</v>
      </c>
      <c r="I51" s="251"/>
      <c r="J51" s="251"/>
      <c r="K51" s="87">
        <v>0.18329999999999999</v>
      </c>
      <c r="L51" s="251"/>
      <c r="M51" s="251"/>
      <c r="N51" s="251"/>
      <c r="O51" s="251" t="s">
        <v>332</v>
      </c>
      <c r="Q51" s="85"/>
      <c r="R51" s="85"/>
      <c r="S51" s="85"/>
      <c r="T51" s="86"/>
    </row>
    <row r="52" spans="1:20" x14ac:dyDescent="0.25">
      <c r="A52" s="251" t="s">
        <v>333</v>
      </c>
      <c r="B52" s="57" t="s">
        <v>41</v>
      </c>
      <c r="C52" s="251"/>
      <c r="D52" s="59" t="s">
        <v>108</v>
      </c>
      <c r="E52" s="57" t="s">
        <v>42</v>
      </c>
      <c r="G52" s="277">
        <v>550</v>
      </c>
      <c r="H52" s="87">
        <f>H21*10</f>
        <v>0.43020000000000003</v>
      </c>
      <c r="I52" s="251"/>
      <c r="J52" s="251"/>
      <c r="K52" s="87">
        <v>0.18329999999999999</v>
      </c>
      <c r="L52" s="251"/>
      <c r="M52" s="251"/>
      <c r="N52" s="251"/>
      <c r="O52" s="251" t="s">
        <v>333</v>
      </c>
      <c r="Q52" s="85"/>
      <c r="R52" s="85"/>
      <c r="S52" s="85"/>
      <c r="T52" s="86"/>
    </row>
    <row r="53" spans="1:20" x14ac:dyDescent="0.25">
      <c r="A53" s="251" t="s">
        <v>334</v>
      </c>
      <c r="B53" s="57" t="s">
        <v>51</v>
      </c>
      <c r="C53" s="251"/>
      <c r="D53" s="187" t="s">
        <v>767</v>
      </c>
      <c r="E53" s="57" t="s">
        <v>766</v>
      </c>
      <c r="F53" s="277">
        <v>800</v>
      </c>
      <c r="G53" s="251"/>
      <c r="H53" s="87">
        <f>H34*10</f>
        <v>4.9699999999999994E-2</v>
      </c>
      <c r="I53" s="251"/>
      <c r="J53" s="277"/>
      <c r="K53" s="87">
        <v>0.18329999999999999</v>
      </c>
      <c r="L53" s="251">
        <v>2.4801000000000002</v>
      </c>
      <c r="M53" s="251"/>
      <c r="N53" s="251"/>
      <c r="O53" s="251" t="s">
        <v>334</v>
      </c>
      <c r="Q53" s="85"/>
      <c r="R53" s="85"/>
      <c r="S53" s="85"/>
      <c r="T53" s="86"/>
    </row>
    <row r="54" spans="1:20" x14ac:dyDescent="0.25">
      <c r="A54" s="251" t="s">
        <v>498</v>
      </c>
      <c r="B54" s="57" t="s">
        <v>62</v>
      </c>
      <c r="C54" s="251"/>
      <c r="D54" s="187" t="s">
        <v>482</v>
      </c>
      <c r="E54" s="57" t="s">
        <v>492</v>
      </c>
      <c r="F54" s="277"/>
      <c r="G54" s="251"/>
      <c r="H54" s="87"/>
      <c r="I54" s="251"/>
      <c r="J54" s="277">
        <v>75</v>
      </c>
      <c r="K54" s="87"/>
      <c r="L54" s="251"/>
      <c r="M54" s="251"/>
      <c r="N54" s="251"/>
      <c r="O54" s="251"/>
      <c r="Q54" s="85"/>
      <c r="R54" s="85"/>
      <c r="S54" s="85"/>
      <c r="T54" s="86"/>
    </row>
    <row r="55" spans="1:20" x14ac:dyDescent="0.25">
      <c r="A55" s="251" t="s">
        <v>487</v>
      </c>
      <c r="B55" s="57" t="s">
        <v>84</v>
      </c>
      <c r="D55" s="823" t="s">
        <v>114</v>
      </c>
      <c r="E55" s="251" t="s">
        <v>431</v>
      </c>
      <c r="F55" s="277"/>
      <c r="J55" s="277">
        <f>J30</f>
        <v>75</v>
      </c>
      <c r="O55" s="251" t="s">
        <v>33</v>
      </c>
      <c r="Q55" s="85"/>
      <c r="R55" s="85"/>
      <c r="S55" s="85"/>
      <c r="T55" s="86"/>
    </row>
    <row r="56" spans="1:20" x14ac:dyDescent="0.25">
      <c r="A56" s="251" t="s">
        <v>499</v>
      </c>
      <c r="B56" s="57" t="s">
        <v>65</v>
      </c>
      <c r="D56" s="187" t="s">
        <v>490</v>
      </c>
      <c r="E56" s="251" t="s">
        <v>491</v>
      </c>
      <c r="F56" s="277">
        <v>400</v>
      </c>
      <c r="G56" s="277">
        <v>550</v>
      </c>
      <c r="H56" s="278">
        <v>0.70089999999999997</v>
      </c>
      <c r="J56" s="277"/>
      <c r="O56" s="251"/>
      <c r="Q56" s="85"/>
      <c r="R56" s="85"/>
      <c r="S56" s="85"/>
      <c r="T56" s="86"/>
    </row>
    <row r="57" spans="1:20" x14ac:dyDescent="0.25">
      <c r="A57" s="251" t="s">
        <v>499</v>
      </c>
      <c r="B57" s="57" t="s">
        <v>68</v>
      </c>
      <c r="D57" s="187" t="s">
        <v>496</v>
      </c>
      <c r="E57" s="251" t="s">
        <v>491</v>
      </c>
      <c r="F57" s="277"/>
      <c r="J57" s="277">
        <v>75</v>
      </c>
      <c r="O57" s="251"/>
      <c r="Q57" s="85"/>
      <c r="R57" s="85"/>
      <c r="S57" s="85"/>
      <c r="T57" s="86"/>
    </row>
    <row r="58" spans="1:20" x14ac:dyDescent="0.25">
      <c r="A58" s="251" t="s">
        <v>500</v>
      </c>
      <c r="B58" s="57" t="s">
        <v>87</v>
      </c>
      <c r="D58" s="187" t="s">
        <v>490</v>
      </c>
      <c r="E58" s="251" t="s">
        <v>491</v>
      </c>
      <c r="F58" s="277">
        <v>400</v>
      </c>
      <c r="G58" s="277">
        <v>550</v>
      </c>
      <c r="H58" s="87">
        <v>0.70089999999999997</v>
      </c>
      <c r="O58" s="251" t="s">
        <v>497</v>
      </c>
      <c r="Q58" s="85"/>
      <c r="R58" s="85"/>
      <c r="S58" s="85"/>
      <c r="T58" s="86"/>
    </row>
    <row r="59" spans="1:20" x14ac:dyDescent="0.25">
      <c r="A59" s="251" t="s">
        <v>486</v>
      </c>
      <c r="B59" s="57" t="s">
        <v>90</v>
      </c>
      <c r="D59" s="187" t="s">
        <v>496</v>
      </c>
      <c r="E59" s="251" t="s">
        <v>491</v>
      </c>
      <c r="F59" s="277"/>
      <c r="G59" s="277"/>
      <c r="J59" s="277">
        <v>75</v>
      </c>
      <c r="O59" s="251" t="s">
        <v>497</v>
      </c>
      <c r="Q59" s="85"/>
      <c r="R59" s="85"/>
      <c r="S59" s="85"/>
      <c r="T59" s="86"/>
    </row>
    <row r="60" spans="1:20" x14ac:dyDescent="0.25">
      <c r="D60" s="85"/>
      <c r="Q60" s="85"/>
      <c r="R60" s="85"/>
      <c r="S60" s="85"/>
      <c r="T60" s="86"/>
    </row>
    <row r="61" spans="1:20" x14ac:dyDescent="0.25">
      <c r="D61" s="85"/>
      <c r="Q61" s="85"/>
      <c r="R61" s="85"/>
      <c r="S61" s="85"/>
      <c r="T61" s="86"/>
    </row>
    <row r="62" spans="1:20" x14ac:dyDescent="0.25">
      <c r="D62" s="85"/>
      <c r="Q62" s="85"/>
      <c r="R62" s="85"/>
      <c r="S62" s="85"/>
      <c r="T62" s="86"/>
    </row>
    <row r="63" spans="1:20" x14ac:dyDescent="0.25">
      <c r="D63" s="85"/>
      <c r="Q63" s="85"/>
      <c r="R63" s="85"/>
      <c r="S63" s="85"/>
      <c r="T63" s="86"/>
    </row>
    <row r="64" spans="1:20" x14ac:dyDescent="0.25">
      <c r="D64" s="85"/>
      <c r="Q64" s="85"/>
      <c r="R64" s="85"/>
      <c r="S64" s="85"/>
      <c r="T64" s="86"/>
    </row>
    <row r="65" spans="1:20" x14ac:dyDescent="0.25">
      <c r="D65" s="85"/>
      <c r="Q65" s="85"/>
      <c r="R65" s="85"/>
      <c r="S65" s="85"/>
      <c r="T65" s="86"/>
    </row>
    <row r="66" spans="1:20" x14ac:dyDescent="0.25">
      <c r="D66" s="85"/>
      <c r="Q66" s="85"/>
      <c r="R66" s="85"/>
      <c r="S66" s="85"/>
      <c r="T66" s="86"/>
    </row>
    <row r="67" spans="1:20" x14ac:dyDescent="0.25">
      <c r="A67" s="824"/>
      <c r="D67" s="85"/>
      <c r="Q67" s="85"/>
      <c r="R67" s="85"/>
      <c r="S67" s="85"/>
      <c r="T67" s="86"/>
    </row>
    <row r="68" spans="1:20" x14ac:dyDescent="0.25">
      <c r="A68" s="824"/>
      <c r="D68" s="85"/>
      <c r="Q68" s="85"/>
      <c r="R68" s="85"/>
      <c r="S68" s="85"/>
      <c r="T68" s="86"/>
    </row>
    <row r="69" spans="1:20" x14ac:dyDescent="0.25">
      <c r="A69" s="824"/>
      <c r="D69" s="85"/>
      <c r="Q69" s="85"/>
      <c r="R69" s="85"/>
      <c r="S69" s="85"/>
      <c r="T69" s="86"/>
    </row>
    <row r="70" spans="1:20" x14ac:dyDescent="0.25">
      <c r="A70" s="824"/>
      <c r="D70" s="85"/>
      <c r="Q70" s="823"/>
      <c r="R70" s="823"/>
      <c r="S70" s="823"/>
    </row>
    <row r="71" spans="1:20" x14ac:dyDescent="0.25">
      <c r="A71" s="824"/>
      <c r="D71" s="85"/>
      <c r="Q71" s="823"/>
      <c r="R71" s="823"/>
      <c r="S71" s="823"/>
    </row>
    <row r="72" spans="1:20" x14ac:dyDescent="0.25">
      <c r="A72" s="824"/>
      <c r="D72" s="85"/>
      <c r="Q72" s="823"/>
      <c r="R72" s="823"/>
    </row>
    <row r="73" spans="1:20" x14ac:dyDescent="0.25">
      <c r="A73" s="824"/>
      <c r="D73" s="85"/>
      <c r="Q73" s="823"/>
      <c r="R73" s="823"/>
    </row>
    <row r="74" spans="1:20" x14ac:dyDescent="0.25">
      <c r="D74" s="85"/>
    </row>
    <row r="75" spans="1:20" x14ac:dyDescent="0.25">
      <c r="D75" s="85"/>
    </row>
    <row r="76" spans="1:20" x14ac:dyDescent="0.25">
      <c r="D76" s="85"/>
    </row>
  </sheetData>
  <sortState ref="P16:S23">
    <sortCondition ref="P16:P23"/>
    <sortCondition ref="Q16:Q23"/>
  </sortState>
  <mergeCells count="2">
    <mergeCell ref="F3:L3"/>
    <mergeCell ref="F40:L40"/>
  </mergeCells>
  <pageMargins left="0.45" right="0.45" top="0.5" bottom="0.5" header="0.3" footer="0.3"/>
  <pageSetup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L16"/>
  <sheetViews>
    <sheetView workbookViewId="0">
      <selection sqref="A1:L1"/>
    </sheetView>
  </sheetViews>
  <sheetFormatPr defaultColWidth="9.140625" defaultRowHeight="15" x14ac:dyDescent="0.25"/>
  <cols>
    <col min="1" max="1" width="11" style="800" customWidth="1"/>
    <col min="2" max="2" width="11.140625" style="800" customWidth="1"/>
    <col min="3" max="7" width="9.140625" style="800"/>
    <col min="8" max="8" width="15.140625" style="800" customWidth="1"/>
    <col min="9" max="16384" width="9.140625" style="800"/>
  </cols>
  <sheetData>
    <row r="1" spans="1:12" x14ac:dyDescent="0.25">
      <c r="A1" s="826" t="s">
        <v>457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</row>
    <row r="3" spans="1:12" x14ac:dyDescent="0.25">
      <c r="A3" s="826" t="s">
        <v>747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6"/>
    </row>
    <row r="5" spans="1:12" x14ac:dyDescent="0.25">
      <c r="A5" s="826" t="s">
        <v>210</v>
      </c>
      <c r="B5" s="826"/>
      <c r="C5" s="826"/>
      <c r="D5" s="826"/>
      <c r="E5" s="826"/>
      <c r="F5" s="826"/>
      <c r="G5" s="826"/>
      <c r="H5" s="826"/>
      <c r="I5" s="826"/>
      <c r="J5" s="826"/>
      <c r="K5" s="826"/>
      <c r="L5" s="826"/>
    </row>
    <row r="7" spans="1:12" x14ac:dyDescent="0.25">
      <c r="A7" s="826" t="s">
        <v>712</v>
      </c>
      <c r="B7" s="826"/>
      <c r="C7" s="826"/>
      <c r="D7" s="826"/>
      <c r="E7" s="826"/>
      <c r="F7" s="826"/>
      <c r="G7" s="826"/>
      <c r="H7" s="826"/>
      <c r="I7" s="826"/>
      <c r="J7" s="826"/>
      <c r="K7" s="826"/>
      <c r="L7" s="826"/>
    </row>
    <row r="8" spans="1:12" x14ac:dyDescent="0.25">
      <c r="A8" s="801"/>
      <c r="B8" s="801"/>
      <c r="C8" s="801"/>
      <c r="D8" s="801"/>
      <c r="E8" s="801"/>
      <c r="F8" s="801"/>
      <c r="G8" s="801"/>
      <c r="H8" s="801"/>
    </row>
    <row r="9" spans="1:12" x14ac:dyDescent="0.25">
      <c r="A9" s="800" t="s">
        <v>458</v>
      </c>
      <c r="D9" s="800" t="s">
        <v>548</v>
      </c>
    </row>
    <row r="11" spans="1:12" x14ac:dyDescent="0.25">
      <c r="A11" s="802" t="s">
        <v>459</v>
      </c>
      <c r="C11" s="825" t="s">
        <v>460</v>
      </c>
      <c r="D11" s="825"/>
      <c r="E11" s="825"/>
      <c r="F11" s="825"/>
      <c r="G11" s="825"/>
      <c r="H11" s="825"/>
    </row>
    <row r="12" spans="1:12" x14ac:dyDescent="0.25">
      <c r="C12" s="826" t="s">
        <v>549</v>
      </c>
      <c r="D12" s="826"/>
      <c r="E12" s="826"/>
      <c r="F12" s="826"/>
      <c r="G12" s="826"/>
      <c r="H12" s="826"/>
    </row>
    <row r="13" spans="1:12" x14ac:dyDescent="0.25">
      <c r="A13" s="800" t="s">
        <v>550</v>
      </c>
      <c r="C13" s="800" t="s">
        <v>733</v>
      </c>
    </row>
    <row r="14" spans="1:12" x14ac:dyDescent="0.25">
      <c r="A14" s="800" t="s">
        <v>551</v>
      </c>
      <c r="C14" s="800" t="s">
        <v>734</v>
      </c>
    </row>
    <row r="15" spans="1:12" x14ac:dyDescent="0.25">
      <c r="A15" s="800" t="s">
        <v>552</v>
      </c>
      <c r="B15" s="800" t="s">
        <v>748</v>
      </c>
      <c r="C15" s="800" t="s">
        <v>735</v>
      </c>
    </row>
    <row r="16" spans="1:12" x14ac:dyDescent="0.25">
      <c r="A16" s="800" t="s">
        <v>552</v>
      </c>
      <c r="B16" s="800" t="s">
        <v>749</v>
      </c>
      <c r="C16" s="800" t="s">
        <v>736</v>
      </c>
    </row>
  </sheetData>
  <mergeCells count="6">
    <mergeCell ref="C11:H11"/>
    <mergeCell ref="C12:H12"/>
    <mergeCell ref="A1:L1"/>
    <mergeCell ref="A3:L3"/>
    <mergeCell ref="A5:L5"/>
    <mergeCell ref="A7:L7"/>
  </mergeCells>
  <printOptions horizontalCentered="1"/>
  <pageMargins left="0.75" right="0.75" top="0.75" bottom="0.5" header="0.25" footer="0.25"/>
  <pageSetup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9" tint="0.39997558519241921"/>
  </sheetPr>
  <dimension ref="A1:H66"/>
  <sheetViews>
    <sheetView workbookViewId="0">
      <selection activeCell="D28" sqref="D28"/>
    </sheetView>
  </sheetViews>
  <sheetFormatPr defaultRowHeight="15" x14ac:dyDescent="0.25"/>
  <cols>
    <col min="1" max="1" width="14.5703125" customWidth="1"/>
    <col min="2" max="2" width="11.140625" customWidth="1"/>
    <col min="3" max="3" width="22.42578125" customWidth="1"/>
    <col min="4" max="4" width="40.5703125" bestFit="1" customWidth="1"/>
    <col min="5" max="5" width="9.140625" customWidth="1"/>
    <col min="6" max="6" width="40.5703125" bestFit="1" customWidth="1"/>
    <col min="7" max="7" width="11.28515625" customWidth="1"/>
    <col min="9" max="9" width="13.85546875" bestFit="1" customWidth="1"/>
  </cols>
  <sheetData>
    <row r="1" spans="1:8" ht="30" x14ac:dyDescent="0.25">
      <c r="A1" t="s">
        <v>1</v>
      </c>
      <c r="B1" s="2" t="s">
        <v>100</v>
      </c>
      <c r="C1" s="1" t="s">
        <v>2</v>
      </c>
      <c r="D1" t="s">
        <v>52</v>
      </c>
      <c r="E1" t="s">
        <v>53</v>
      </c>
    </row>
    <row r="2" spans="1:8" x14ac:dyDescent="0.25">
      <c r="A2" t="s">
        <v>13</v>
      </c>
      <c r="B2" s="1" t="str">
        <f t="shared" ref="B2:B33" si="0">MID(A2,6,3)</f>
        <v>851</v>
      </c>
      <c r="C2" t="s">
        <v>101</v>
      </c>
      <c r="D2" t="s">
        <v>14</v>
      </c>
      <c r="E2" t="s">
        <v>55</v>
      </c>
      <c r="H2" s="1"/>
    </row>
    <row r="3" spans="1:8" x14ac:dyDescent="0.25">
      <c r="A3" t="s">
        <v>5</v>
      </c>
      <c r="B3" s="1" t="str">
        <f t="shared" si="0"/>
        <v>865</v>
      </c>
      <c r="C3" t="s">
        <v>102</v>
      </c>
      <c r="D3" t="s">
        <v>6</v>
      </c>
      <c r="E3" t="s">
        <v>55</v>
      </c>
      <c r="H3" s="1"/>
    </row>
    <row r="4" spans="1:8" x14ac:dyDescent="0.25">
      <c r="A4" t="s">
        <v>58</v>
      </c>
      <c r="B4" s="1" t="str">
        <f t="shared" si="0"/>
        <v>875</v>
      </c>
      <c r="C4" t="s">
        <v>103</v>
      </c>
      <c r="D4" t="s">
        <v>59</v>
      </c>
      <c r="E4" t="s">
        <v>55</v>
      </c>
      <c r="H4" s="1"/>
    </row>
    <row r="5" spans="1:8" x14ac:dyDescent="0.25">
      <c r="A5" t="s">
        <v>28</v>
      </c>
      <c r="B5" s="1" t="str">
        <f t="shared" si="0"/>
        <v>881</v>
      </c>
      <c r="C5" t="s">
        <v>104</v>
      </c>
      <c r="D5" t="s">
        <v>29</v>
      </c>
      <c r="E5" t="s">
        <v>55</v>
      </c>
      <c r="H5" s="1"/>
    </row>
    <row r="6" spans="1:8" x14ac:dyDescent="0.25">
      <c r="A6" t="s">
        <v>62</v>
      </c>
      <c r="B6" s="1" t="str">
        <f t="shared" si="0"/>
        <v>881</v>
      </c>
      <c r="C6" s="3" t="s">
        <v>105</v>
      </c>
      <c r="D6" t="s">
        <v>64</v>
      </c>
      <c r="E6" t="s">
        <v>55</v>
      </c>
      <c r="H6" s="1"/>
    </row>
    <row r="7" spans="1:8" x14ac:dyDescent="0.25">
      <c r="A7" t="s">
        <v>65</v>
      </c>
      <c r="B7" s="1" t="str">
        <f t="shared" si="0"/>
        <v>891</v>
      </c>
      <c r="C7" t="s">
        <v>106</v>
      </c>
      <c r="D7" t="s">
        <v>67</v>
      </c>
      <c r="E7" t="s">
        <v>55</v>
      </c>
      <c r="H7" s="1"/>
    </row>
    <row r="8" spans="1:8" x14ac:dyDescent="0.25">
      <c r="A8" t="s">
        <v>68</v>
      </c>
      <c r="B8" s="1" t="str">
        <f t="shared" si="0"/>
        <v>891</v>
      </c>
      <c r="C8" s="3" t="s">
        <v>107</v>
      </c>
      <c r="D8" t="s">
        <v>70</v>
      </c>
      <c r="E8" t="s">
        <v>55</v>
      </c>
      <c r="H8" s="1"/>
    </row>
    <row r="9" spans="1:8" x14ac:dyDescent="0.25">
      <c r="A9" t="s">
        <v>41</v>
      </c>
      <c r="B9" s="1" t="str">
        <f t="shared" si="0"/>
        <v>895</v>
      </c>
      <c r="C9" s="4" t="s">
        <v>108</v>
      </c>
      <c r="D9" t="s">
        <v>42</v>
      </c>
      <c r="E9" t="s">
        <v>55</v>
      </c>
      <c r="H9" s="1"/>
    </row>
    <row r="10" spans="1:8" x14ac:dyDescent="0.25">
      <c r="A10" t="s">
        <v>72</v>
      </c>
      <c r="B10" s="1" t="str">
        <f t="shared" si="0"/>
        <v>895</v>
      </c>
      <c r="C10" s="3" t="s">
        <v>109</v>
      </c>
      <c r="D10" t="s">
        <v>74</v>
      </c>
      <c r="E10" t="s">
        <v>55</v>
      </c>
      <c r="H10" s="1"/>
    </row>
    <row r="11" spans="1:8" x14ac:dyDescent="0.25">
      <c r="A11" t="s">
        <v>47</v>
      </c>
      <c r="B11" s="1" t="str">
        <f t="shared" si="0"/>
        <v>991</v>
      </c>
      <c r="C11" s="4" t="s">
        <v>110</v>
      </c>
      <c r="D11" t="s">
        <v>48</v>
      </c>
      <c r="E11" t="s">
        <v>55</v>
      </c>
      <c r="H11" s="1"/>
    </row>
    <row r="12" spans="1:8" x14ac:dyDescent="0.25">
      <c r="A12" t="s">
        <v>76</v>
      </c>
      <c r="B12" s="1" t="str">
        <f t="shared" si="0"/>
        <v>995</v>
      </c>
      <c r="C12" s="3" t="s">
        <v>123</v>
      </c>
      <c r="D12" t="s">
        <v>77</v>
      </c>
      <c r="E12" t="s">
        <v>55</v>
      </c>
      <c r="H12" s="1"/>
    </row>
    <row r="13" spans="1:8" x14ac:dyDescent="0.25">
      <c r="A13" t="s">
        <v>78</v>
      </c>
      <c r="B13" s="1" t="str">
        <f t="shared" si="0"/>
        <v>994</v>
      </c>
      <c r="C13" s="4" t="s">
        <v>126</v>
      </c>
      <c r="D13" t="s">
        <v>79</v>
      </c>
      <c r="E13" t="s">
        <v>55</v>
      </c>
      <c r="H13" s="1"/>
    </row>
    <row r="14" spans="1:8" x14ac:dyDescent="0.25">
      <c r="A14" t="s">
        <v>18</v>
      </c>
      <c r="B14" s="1" t="str">
        <f t="shared" si="0"/>
        <v>855</v>
      </c>
      <c r="C14" s="4" t="s">
        <v>111</v>
      </c>
      <c r="D14" t="s">
        <v>19</v>
      </c>
      <c r="E14" t="s">
        <v>55</v>
      </c>
      <c r="H14" s="1"/>
    </row>
    <row r="15" spans="1:8" x14ac:dyDescent="0.25">
      <c r="A15" t="s">
        <v>9</v>
      </c>
      <c r="B15" s="1" t="str">
        <f t="shared" si="0"/>
        <v>866</v>
      </c>
      <c r="C15" s="4" t="s">
        <v>112</v>
      </c>
      <c r="D15" t="s">
        <v>10</v>
      </c>
      <c r="E15" t="s">
        <v>55</v>
      </c>
      <c r="H15" s="1"/>
    </row>
    <row r="16" spans="1:8" x14ac:dyDescent="0.25">
      <c r="A16" t="s">
        <v>31</v>
      </c>
      <c r="B16" s="1" t="str">
        <f t="shared" si="0"/>
        <v>882</v>
      </c>
      <c r="C16" s="4" t="s">
        <v>113</v>
      </c>
      <c r="D16" t="s">
        <v>32</v>
      </c>
      <c r="E16" t="s">
        <v>55</v>
      </c>
      <c r="H16" s="1"/>
    </row>
    <row r="17" spans="1:8" x14ac:dyDescent="0.25">
      <c r="A17" t="s">
        <v>84</v>
      </c>
      <c r="B17" s="1" t="str">
        <f t="shared" si="0"/>
        <v>882</v>
      </c>
      <c r="C17" s="3" t="s">
        <v>114</v>
      </c>
      <c r="D17" t="s">
        <v>86</v>
      </c>
      <c r="E17" t="s">
        <v>55</v>
      </c>
      <c r="H17" s="1"/>
    </row>
    <row r="18" spans="1:8" x14ac:dyDescent="0.25">
      <c r="A18" t="s">
        <v>87</v>
      </c>
      <c r="B18" s="1" t="str">
        <f t="shared" si="0"/>
        <v>892</v>
      </c>
      <c r="C18" s="3" t="s">
        <v>115</v>
      </c>
      <c r="D18" t="s">
        <v>89</v>
      </c>
      <c r="E18" t="s">
        <v>55</v>
      </c>
      <c r="H18" s="1"/>
    </row>
    <row r="19" spans="1:8" x14ac:dyDescent="0.25">
      <c r="A19" t="s">
        <v>90</v>
      </c>
      <c r="B19" s="1" t="str">
        <f t="shared" si="0"/>
        <v>892</v>
      </c>
      <c r="C19" s="3" t="s">
        <v>116</v>
      </c>
      <c r="D19" t="s">
        <v>92</v>
      </c>
      <c r="E19" t="s">
        <v>55</v>
      </c>
      <c r="H19" s="1"/>
    </row>
    <row r="20" spans="1:8" x14ac:dyDescent="0.25">
      <c r="A20" t="s">
        <v>43</v>
      </c>
      <c r="B20" s="1" t="str">
        <f t="shared" si="0"/>
        <v>896</v>
      </c>
      <c r="C20" s="3" t="s">
        <v>117</v>
      </c>
      <c r="D20" t="s">
        <v>44</v>
      </c>
      <c r="E20" t="s">
        <v>55</v>
      </c>
      <c r="H20" s="1"/>
    </row>
    <row r="21" spans="1:8" x14ac:dyDescent="0.25">
      <c r="A21" t="s">
        <v>38</v>
      </c>
      <c r="B21" s="1" t="str">
        <f t="shared" si="0"/>
        <v>896</v>
      </c>
      <c r="C21" s="4" t="s">
        <v>118</v>
      </c>
      <c r="D21" t="s">
        <v>39</v>
      </c>
      <c r="E21" t="s">
        <v>55</v>
      </c>
      <c r="H21" s="1"/>
    </row>
    <row r="22" spans="1:8" x14ac:dyDescent="0.25">
      <c r="A22" t="s">
        <v>94</v>
      </c>
      <c r="B22" s="1" t="str">
        <f t="shared" si="0"/>
        <v>896</v>
      </c>
      <c r="C22" s="3" t="s">
        <v>119</v>
      </c>
      <c r="D22" t="s">
        <v>95</v>
      </c>
      <c r="E22" t="s">
        <v>55</v>
      </c>
      <c r="H22" s="1"/>
    </row>
    <row r="23" spans="1:8" x14ac:dyDescent="0.25">
      <c r="A23" t="s">
        <v>45</v>
      </c>
      <c r="B23" s="1" t="str">
        <f t="shared" si="0"/>
        <v>896</v>
      </c>
      <c r="C23" s="4" t="s">
        <v>120</v>
      </c>
      <c r="D23" t="s">
        <v>46</v>
      </c>
      <c r="E23" t="s">
        <v>55</v>
      </c>
      <c r="H23" s="1"/>
    </row>
    <row r="24" spans="1:8" x14ac:dyDescent="0.25">
      <c r="A24" t="s">
        <v>49</v>
      </c>
      <c r="B24" s="1" t="str">
        <f t="shared" si="0"/>
        <v>992</v>
      </c>
      <c r="C24" s="4" t="s">
        <v>121</v>
      </c>
      <c r="D24" t="s">
        <v>50</v>
      </c>
      <c r="E24" t="s">
        <v>55</v>
      </c>
      <c r="H24" s="1"/>
    </row>
    <row r="25" spans="1:8" x14ac:dyDescent="0.25">
      <c r="A25" t="s">
        <v>98</v>
      </c>
      <c r="B25" s="1" t="str">
        <f t="shared" si="0"/>
        <v>995</v>
      </c>
      <c r="C25" s="4" t="s">
        <v>122</v>
      </c>
      <c r="D25" t="s">
        <v>77</v>
      </c>
      <c r="E25" t="s">
        <v>55</v>
      </c>
      <c r="H25" s="1"/>
    </row>
    <row r="26" spans="1:8" x14ac:dyDescent="0.25">
      <c r="A26" t="s">
        <v>34</v>
      </c>
      <c r="B26" s="1" t="str">
        <f t="shared" si="0"/>
        <v>996</v>
      </c>
      <c r="C26" s="4" t="s">
        <v>124</v>
      </c>
      <c r="D26" t="s">
        <v>35</v>
      </c>
      <c r="E26" t="s">
        <v>55</v>
      </c>
      <c r="H26" s="1"/>
    </row>
    <row r="27" spans="1:8" x14ac:dyDescent="0.25">
      <c r="A27" t="s">
        <v>51</v>
      </c>
      <c r="B27" s="1" t="str">
        <f t="shared" si="0"/>
        <v>997</v>
      </c>
      <c r="C27" s="4" t="s">
        <v>764</v>
      </c>
      <c r="D27" t="s">
        <v>756</v>
      </c>
      <c r="E27" t="s">
        <v>55</v>
      </c>
      <c r="H27" s="1"/>
    </row>
    <row r="28" spans="1:8" x14ac:dyDescent="0.25">
      <c r="A28" t="s">
        <v>22</v>
      </c>
      <c r="B28" s="1" t="str">
        <f t="shared" si="0"/>
        <v>811</v>
      </c>
      <c r="C28" s="4" t="s">
        <v>125</v>
      </c>
      <c r="D28" t="s">
        <v>23</v>
      </c>
      <c r="E28" t="s">
        <v>55</v>
      </c>
      <c r="H28" s="1"/>
    </row>
    <row r="29" spans="1:8" x14ac:dyDescent="0.25">
      <c r="A29" t="s">
        <v>24</v>
      </c>
      <c r="B29" s="1" t="str">
        <f t="shared" si="0"/>
        <v>811</v>
      </c>
      <c r="C29" s="4" t="s">
        <v>125</v>
      </c>
      <c r="D29" t="s">
        <v>25</v>
      </c>
      <c r="E29" t="s">
        <v>55</v>
      </c>
      <c r="H29" s="1"/>
    </row>
    <row r="30" spans="1:8" x14ac:dyDescent="0.25">
      <c r="A30" t="s">
        <v>26</v>
      </c>
      <c r="B30" s="1" t="str">
        <f t="shared" si="0"/>
        <v>840</v>
      </c>
      <c r="C30" s="4" t="s">
        <v>125</v>
      </c>
      <c r="D30" t="s">
        <v>27</v>
      </c>
      <c r="E30" t="s">
        <v>55</v>
      </c>
      <c r="H30" s="1"/>
    </row>
    <row r="31" spans="1:8" x14ac:dyDescent="0.25">
      <c r="A31" t="s">
        <v>20</v>
      </c>
      <c r="B31" s="1" t="str">
        <f t="shared" si="0"/>
        <v>830</v>
      </c>
      <c r="C31" s="4" t="s">
        <v>125</v>
      </c>
      <c r="D31" t="s">
        <v>21</v>
      </c>
      <c r="E31" t="s">
        <v>55</v>
      </c>
      <c r="H31" s="1"/>
    </row>
    <row r="32" spans="1:8" x14ac:dyDescent="0.25">
      <c r="A32" t="s">
        <v>11</v>
      </c>
      <c r="B32" s="1" t="str">
        <f t="shared" si="0"/>
        <v>860</v>
      </c>
      <c r="C32" s="4" t="s">
        <v>101</v>
      </c>
      <c r="D32" t="s">
        <v>12</v>
      </c>
      <c r="E32" t="s">
        <v>55</v>
      </c>
      <c r="H32" s="1"/>
    </row>
    <row r="33" spans="1:8" x14ac:dyDescent="0.25">
      <c r="A33" t="s">
        <v>16</v>
      </c>
      <c r="B33" s="1" t="str">
        <f t="shared" si="0"/>
        <v>861</v>
      </c>
      <c r="C33" s="4" t="s">
        <v>101</v>
      </c>
      <c r="D33" t="s">
        <v>17</v>
      </c>
      <c r="E33" t="s">
        <v>55</v>
      </c>
      <c r="H33" s="1"/>
    </row>
    <row r="40" spans="1:8" x14ac:dyDescent="0.25">
      <c r="A40" t="s">
        <v>13</v>
      </c>
      <c r="B40" s="1" t="s">
        <v>127</v>
      </c>
      <c r="C40" t="s">
        <v>101</v>
      </c>
      <c r="D40" t="s">
        <v>56</v>
      </c>
      <c r="E40" t="s">
        <v>54</v>
      </c>
    </row>
    <row r="41" spans="1:8" x14ac:dyDescent="0.25">
      <c r="A41" t="s">
        <v>5</v>
      </c>
      <c r="B41" s="1" t="s">
        <v>128</v>
      </c>
      <c r="C41" t="s">
        <v>102</v>
      </c>
      <c r="D41" t="s">
        <v>57</v>
      </c>
      <c r="E41" t="s">
        <v>54</v>
      </c>
    </row>
    <row r="42" spans="1:8" x14ac:dyDescent="0.25">
      <c r="A42" t="s">
        <v>58</v>
      </c>
      <c r="B42" s="1" t="s">
        <v>129</v>
      </c>
      <c r="C42" t="s">
        <v>103</v>
      </c>
      <c r="D42" t="s">
        <v>60</v>
      </c>
      <c r="E42" t="s">
        <v>54</v>
      </c>
    </row>
    <row r="43" spans="1:8" x14ac:dyDescent="0.25">
      <c r="A43" t="s">
        <v>28</v>
      </c>
      <c r="B43" s="1" t="s">
        <v>130</v>
      </c>
      <c r="C43" t="s">
        <v>104</v>
      </c>
      <c r="D43" t="s">
        <v>61</v>
      </c>
      <c r="E43" t="s">
        <v>54</v>
      </c>
    </row>
    <row r="44" spans="1:8" x14ac:dyDescent="0.25">
      <c r="A44" t="s">
        <v>62</v>
      </c>
      <c r="B44" s="1" t="s">
        <v>130</v>
      </c>
      <c r="C44" s="3" t="s">
        <v>105</v>
      </c>
      <c r="D44" t="s">
        <v>63</v>
      </c>
      <c r="E44" t="s">
        <v>54</v>
      </c>
    </row>
    <row r="45" spans="1:8" x14ac:dyDescent="0.25">
      <c r="A45" t="s">
        <v>65</v>
      </c>
      <c r="B45" s="1" t="s">
        <v>131</v>
      </c>
      <c r="C45" t="s">
        <v>106</v>
      </c>
      <c r="D45" t="s">
        <v>66</v>
      </c>
      <c r="E45" t="s">
        <v>54</v>
      </c>
    </row>
    <row r="46" spans="1:8" x14ac:dyDescent="0.25">
      <c r="A46" t="s">
        <v>68</v>
      </c>
      <c r="B46" s="1" t="s">
        <v>131</v>
      </c>
      <c r="C46" s="3" t="s">
        <v>107</v>
      </c>
      <c r="D46" t="s">
        <v>69</v>
      </c>
      <c r="E46" t="s">
        <v>54</v>
      </c>
    </row>
    <row r="47" spans="1:8" x14ac:dyDescent="0.25">
      <c r="A47" t="s">
        <v>41</v>
      </c>
      <c r="B47" s="1" t="s">
        <v>132</v>
      </c>
      <c r="C47" s="4" t="s">
        <v>108</v>
      </c>
      <c r="D47" t="s">
        <v>71</v>
      </c>
      <c r="E47" t="s">
        <v>54</v>
      </c>
    </row>
    <row r="48" spans="1:8" x14ac:dyDescent="0.25">
      <c r="A48" t="s">
        <v>72</v>
      </c>
      <c r="B48" s="1" t="s">
        <v>132</v>
      </c>
      <c r="C48" s="3" t="s">
        <v>109</v>
      </c>
      <c r="D48" t="s">
        <v>73</v>
      </c>
      <c r="E48" t="s">
        <v>54</v>
      </c>
    </row>
    <row r="49" spans="1:5" x14ac:dyDescent="0.25">
      <c r="A49" t="s">
        <v>47</v>
      </c>
      <c r="B49" s="1" t="s">
        <v>133</v>
      </c>
      <c r="C49" s="4" t="s">
        <v>110</v>
      </c>
      <c r="D49" t="s">
        <v>75</v>
      </c>
      <c r="E49" t="s">
        <v>54</v>
      </c>
    </row>
    <row r="50" spans="1:5" x14ac:dyDescent="0.25">
      <c r="A50" t="s">
        <v>76</v>
      </c>
      <c r="B50" s="1" t="s">
        <v>134</v>
      </c>
      <c r="C50" s="3" t="s">
        <v>123</v>
      </c>
      <c r="D50" t="s">
        <v>77</v>
      </c>
      <c r="E50" t="s">
        <v>54</v>
      </c>
    </row>
    <row r="51" spans="1:5" x14ac:dyDescent="0.25">
      <c r="A51" t="s">
        <v>78</v>
      </c>
      <c r="B51" s="1" t="s">
        <v>135</v>
      </c>
      <c r="C51" s="4" t="s">
        <v>126</v>
      </c>
      <c r="D51" t="s">
        <v>80</v>
      </c>
      <c r="E51" t="s">
        <v>54</v>
      </c>
    </row>
    <row r="52" spans="1:5" x14ac:dyDescent="0.25">
      <c r="A52" t="s">
        <v>18</v>
      </c>
      <c r="B52" s="1" t="s">
        <v>136</v>
      </c>
      <c r="C52" s="4" t="s">
        <v>111</v>
      </c>
      <c r="D52" t="s">
        <v>81</v>
      </c>
      <c r="E52" t="s">
        <v>54</v>
      </c>
    </row>
    <row r="53" spans="1:5" x14ac:dyDescent="0.25">
      <c r="A53" t="s">
        <v>9</v>
      </c>
      <c r="B53" s="1" t="s">
        <v>137</v>
      </c>
      <c r="C53" s="4" t="s">
        <v>112</v>
      </c>
      <c r="D53" t="s">
        <v>82</v>
      </c>
      <c r="E53" t="s">
        <v>54</v>
      </c>
    </row>
    <row r="54" spans="1:5" x14ac:dyDescent="0.25">
      <c r="A54" t="s">
        <v>31</v>
      </c>
      <c r="B54" s="1" t="s">
        <v>138</v>
      </c>
      <c r="C54" s="4" t="s">
        <v>113</v>
      </c>
      <c r="D54" t="s">
        <v>83</v>
      </c>
      <c r="E54" t="s">
        <v>54</v>
      </c>
    </row>
    <row r="55" spans="1:5" x14ac:dyDescent="0.25">
      <c r="A55" t="s">
        <v>84</v>
      </c>
      <c r="B55" s="1" t="s">
        <v>138</v>
      </c>
      <c r="C55" s="3" t="s">
        <v>114</v>
      </c>
      <c r="D55" t="s">
        <v>85</v>
      </c>
      <c r="E55" t="s">
        <v>54</v>
      </c>
    </row>
    <row r="56" spans="1:5" x14ac:dyDescent="0.25">
      <c r="A56" t="s">
        <v>87</v>
      </c>
      <c r="B56" s="1" t="s">
        <v>139</v>
      </c>
      <c r="C56" s="3" t="s">
        <v>115</v>
      </c>
      <c r="D56" t="s">
        <v>88</v>
      </c>
      <c r="E56" t="s">
        <v>54</v>
      </c>
    </row>
    <row r="57" spans="1:5" x14ac:dyDescent="0.25">
      <c r="A57" t="s">
        <v>90</v>
      </c>
      <c r="B57" s="1" t="s">
        <v>139</v>
      </c>
      <c r="C57" s="3" t="s">
        <v>116</v>
      </c>
      <c r="D57" t="s">
        <v>91</v>
      </c>
      <c r="E57" t="s">
        <v>54</v>
      </c>
    </row>
    <row r="58" spans="1:5" x14ac:dyDescent="0.25">
      <c r="A58" t="s">
        <v>43</v>
      </c>
      <c r="B58" s="1" t="s">
        <v>140</v>
      </c>
      <c r="C58" s="3" t="s">
        <v>117</v>
      </c>
      <c r="D58" t="s">
        <v>93</v>
      </c>
      <c r="E58" t="s">
        <v>54</v>
      </c>
    </row>
    <row r="59" spans="1:5" x14ac:dyDescent="0.25">
      <c r="A59" t="s">
        <v>45</v>
      </c>
      <c r="B59" s="1" t="s">
        <v>140</v>
      </c>
      <c r="C59" s="4" t="s">
        <v>120</v>
      </c>
      <c r="D59" t="s">
        <v>96</v>
      </c>
      <c r="E59" t="s">
        <v>54</v>
      </c>
    </row>
    <row r="60" spans="1:5" x14ac:dyDescent="0.25">
      <c r="A60" t="s">
        <v>49</v>
      </c>
      <c r="B60" s="1" t="s">
        <v>141</v>
      </c>
      <c r="C60" s="4" t="s">
        <v>121</v>
      </c>
      <c r="D60" t="s">
        <v>97</v>
      </c>
      <c r="E60" t="s">
        <v>54</v>
      </c>
    </row>
    <row r="61" spans="1:5" x14ac:dyDescent="0.25">
      <c r="A61" t="s">
        <v>98</v>
      </c>
      <c r="B61" s="1" t="s">
        <v>134</v>
      </c>
      <c r="C61" s="4" t="s">
        <v>122</v>
      </c>
      <c r="D61" t="s">
        <v>77</v>
      </c>
      <c r="E61" t="s">
        <v>54</v>
      </c>
    </row>
    <row r="62" spans="1:5" x14ac:dyDescent="0.25">
      <c r="A62" t="s">
        <v>22</v>
      </c>
      <c r="B62" s="1" t="s">
        <v>142</v>
      </c>
      <c r="C62" s="4" t="s">
        <v>125</v>
      </c>
      <c r="D62" t="s">
        <v>99</v>
      </c>
      <c r="E62" t="s">
        <v>54</v>
      </c>
    </row>
    <row r="63" spans="1:5" x14ac:dyDescent="0.25">
      <c r="A63" t="s">
        <v>26</v>
      </c>
      <c r="B63" s="1" t="s">
        <v>143</v>
      </c>
      <c r="C63" s="4" t="s">
        <v>125</v>
      </c>
      <c r="D63" t="s">
        <v>27</v>
      </c>
      <c r="E63" t="s">
        <v>54</v>
      </c>
    </row>
    <row r="64" spans="1:5" x14ac:dyDescent="0.25">
      <c r="A64" t="s">
        <v>20</v>
      </c>
      <c r="B64" s="1" t="s">
        <v>144</v>
      </c>
      <c r="C64" s="4" t="s">
        <v>125</v>
      </c>
      <c r="D64" t="s">
        <v>21</v>
      </c>
      <c r="E64" t="s">
        <v>54</v>
      </c>
    </row>
    <row r="65" spans="1:5" x14ac:dyDescent="0.25">
      <c r="A65" t="s">
        <v>11</v>
      </c>
      <c r="B65" s="1" t="s">
        <v>145</v>
      </c>
      <c r="C65" s="4" t="s">
        <v>101</v>
      </c>
      <c r="D65" t="s">
        <v>12</v>
      </c>
      <c r="E65" t="s">
        <v>54</v>
      </c>
    </row>
    <row r="66" spans="1:5" x14ac:dyDescent="0.25">
      <c r="A66" t="s">
        <v>16</v>
      </c>
      <c r="B66" s="1" t="s">
        <v>146</v>
      </c>
      <c r="C66" s="4" t="s">
        <v>101</v>
      </c>
      <c r="D66" t="s">
        <v>17</v>
      </c>
      <c r="E66" t="s">
        <v>54</v>
      </c>
    </row>
  </sheetData>
  <pageMargins left="0.7" right="0.7" top="0.75" bottom="0.75" header="0.3" footer="0.3"/>
  <pageSetup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9" tint="0.39997558519241921"/>
    <pageSetUpPr fitToPage="1"/>
  </sheetPr>
  <dimension ref="A1:V268"/>
  <sheetViews>
    <sheetView workbookViewId="0"/>
  </sheetViews>
  <sheetFormatPr defaultColWidth="9.140625" defaultRowHeight="12.75" x14ac:dyDescent="0.2"/>
  <cols>
    <col min="1" max="1" width="12" style="249" customWidth="1"/>
    <col min="2" max="2" width="13" style="13" customWidth="1"/>
    <col min="3" max="3" width="11.140625" style="13" customWidth="1"/>
    <col min="4" max="4" width="11.42578125" style="13" customWidth="1"/>
    <col min="5" max="5" width="13.28515625" style="13" customWidth="1"/>
    <col min="6" max="6" width="9.140625" style="13"/>
    <col min="7" max="7" width="9.140625" style="91"/>
    <col min="8" max="8" width="10.42578125" style="13" bestFit="1" customWidth="1"/>
    <col min="9" max="9" width="12" style="91" customWidth="1"/>
    <col min="10" max="13" width="9.140625" style="13"/>
    <col min="14" max="14" width="9.42578125" style="13" bestFit="1" customWidth="1"/>
    <col min="15" max="16384" width="9.140625" style="13"/>
  </cols>
  <sheetData>
    <row r="1" spans="1:16" x14ac:dyDescent="0.2">
      <c r="A1" s="91"/>
      <c r="B1" s="256" t="s">
        <v>179</v>
      </c>
      <c r="C1" s="256"/>
      <c r="D1" s="256"/>
      <c r="E1" s="257"/>
      <c r="F1" s="91"/>
      <c r="H1" s="91"/>
      <c r="J1" s="91"/>
      <c r="K1" s="91"/>
      <c r="L1" s="91"/>
      <c r="M1" s="91"/>
      <c r="N1" s="91"/>
      <c r="O1" s="91"/>
      <c r="P1" s="91"/>
    </row>
    <row r="2" spans="1:16" x14ac:dyDescent="0.2">
      <c r="A2" s="11">
        <v>1</v>
      </c>
      <c r="B2" s="258">
        <v>2</v>
      </c>
      <c r="C2" s="258">
        <v>3</v>
      </c>
      <c r="D2" s="258">
        <v>4</v>
      </c>
      <c r="E2" s="258">
        <v>5</v>
      </c>
      <c r="F2" s="258">
        <v>6</v>
      </c>
      <c r="G2" s="258">
        <v>7</v>
      </c>
      <c r="H2" s="258">
        <v>8</v>
      </c>
      <c r="I2" s="258">
        <v>9</v>
      </c>
      <c r="J2" s="258">
        <v>10</v>
      </c>
      <c r="K2" s="258">
        <v>11</v>
      </c>
      <c r="L2" s="258">
        <v>12</v>
      </c>
      <c r="M2" s="258">
        <v>13</v>
      </c>
      <c r="N2" s="258">
        <v>14</v>
      </c>
      <c r="O2" s="258">
        <v>15</v>
      </c>
      <c r="P2" s="91"/>
    </row>
    <row r="3" spans="1:16" x14ac:dyDescent="0.2">
      <c r="A3" s="91"/>
      <c r="B3" s="91"/>
      <c r="C3" s="259" t="s">
        <v>180</v>
      </c>
      <c r="D3" s="257" t="s">
        <v>181</v>
      </c>
      <c r="E3" s="86"/>
      <c r="F3" s="91"/>
      <c r="H3" s="91"/>
      <c r="J3" s="91"/>
      <c r="K3" s="91"/>
      <c r="L3" s="91"/>
      <c r="M3" s="91"/>
      <c r="N3" s="91"/>
      <c r="O3" s="91"/>
      <c r="P3" s="91"/>
    </row>
    <row r="4" spans="1:16" x14ac:dyDescent="0.2">
      <c r="A4" s="91"/>
      <c r="B4" s="91"/>
      <c r="C4" s="260" t="s">
        <v>205</v>
      </c>
      <c r="D4" s="257" t="s">
        <v>182</v>
      </c>
      <c r="E4" s="91"/>
      <c r="F4" s="91"/>
      <c r="H4" s="91"/>
      <c r="J4" s="91"/>
      <c r="K4" s="91"/>
      <c r="L4" s="91"/>
      <c r="M4" s="91"/>
      <c r="N4" s="91"/>
      <c r="O4" s="91"/>
      <c r="P4" s="91"/>
    </row>
    <row r="5" spans="1:16" x14ac:dyDescent="0.2">
      <c r="A5" s="91"/>
      <c r="B5" s="11" t="s">
        <v>183</v>
      </c>
      <c r="C5" s="261" t="s">
        <v>184</v>
      </c>
      <c r="D5" s="261" t="s">
        <v>185</v>
      </c>
      <c r="E5" s="11" t="s">
        <v>186</v>
      </c>
      <c r="F5" s="261"/>
      <c r="H5" s="261" t="s">
        <v>340</v>
      </c>
      <c r="J5" s="11" t="s">
        <v>420</v>
      </c>
      <c r="K5" s="11" t="s">
        <v>420</v>
      </c>
      <c r="L5" s="11" t="s">
        <v>420</v>
      </c>
      <c r="M5" s="11" t="s">
        <v>420</v>
      </c>
      <c r="N5" s="11" t="s">
        <v>420</v>
      </c>
      <c r="O5" s="11" t="s">
        <v>420</v>
      </c>
      <c r="P5" s="91"/>
    </row>
    <row r="6" spans="1:16" x14ac:dyDescent="0.2">
      <c r="A6" s="91"/>
      <c r="B6" s="11" t="s">
        <v>187</v>
      </c>
      <c r="C6" s="11" t="s">
        <v>188</v>
      </c>
      <c r="D6" s="11" t="s">
        <v>189</v>
      </c>
      <c r="E6" s="11" t="s">
        <v>190</v>
      </c>
      <c r="F6" s="261" t="s">
        <v>328</v>
      </c>
      <c r="G6" s="261" t="s">
        <v>180</v>
      </c>
      <c r="H6" s="261" t="s">
        <v>341</v>
      </c>
      <c r="I6" s="11" t="s">
        <v>183</v>
      </c>
      <c r="J6" s="11" t="s">
        <v>421</v>
      </c>
      <c r="K6" s="11" t="s">
        <v>421</v>
      </c>
      <c r="L6" s="11" t="s">
        <v>421</v>
      </c>
      <c r="M6" s="11" t="s">
        <v>421</v>
      </c>
      <c r="N6" s="11" t="s">
        <v>421</v>
      </c>
      <c r="O6" s="11" t="s">
        <v>421</v>
      </c>
      <c r="P6" s="91"/>
    </row>
    <row r="7" spans="1:16" x14ac:dyDescent="0.2">
      <c r="A7" s="91"/>
      <c r="B7" s="262" t="s">
        <v>204</v>
      </c>
      <c r="C7" s="263" t="s">
        <v>125</v>
      </c>
      <c r="D7" s="11" t="s">
        <v>191</v>
      </c>
      <c r="E7" s="11" t="s">
        <v>192</v>
      </c>
      <c r="F7" s="11" t="s">
        <v>219</v>
      </c>
      <c r="G7" s="11" t="s">
        <v>219</v>
      </c>
      <c r="H7" s="11" t="s">
        <v>342</v>
      </c>
      <c r="I7" s="11" t="s">
        <v>187</v>
      </c>
      <c r="J7" s="11" t="s">
        <v>422</v>
      </c>
      <c r="K7" s="11" t="s">
        <v>422</v>
      </c>
      <c r="L7" s="11" t="s">
        <v>422</v>
      </c>
      <c r="M7" s="11" t="s">
        <v>422</v>
      </c>
      <c r="N7" s="11" t="s">
        <v>422</v>
      </c>
      <c r="O7" s="11" t="s">
        <v>422</v>
      </c>
      <c r="P7" s="91"/>
    </row>
    <row r="8" spans="1:16" x14ac:dyDescent="0.2">
      <c r="A8" s="91"/>
      <c r="B8" s="261" t="s">
        <v>193</v>
      </c>
      <c r="C8" s="261" t="s">
        <v>194</v>
      </c>
      <c r="D8" s="261" t="s">
        <v>195</v>
      </c>
      <c r="E8" s="261" t="s">
        <v>196</v>
      </c>
      <c r="F8" s="264" t="s">
        <v>207</v>
      </c>
      <c r="G8" s="264" t="s">
        <v>207</v>
      </c>
      <c r="H8" s="264" t="s">
        <v>207</v>
      </c>
      <c r="I8" s="264" t="s">
        <v>207</v>
      </c>
      <c r="J8" s="264" t="s">
        <v>378</v>
      </c>
      <c r="K8" s="264" t="s">
        <v>423</v>
      </c>
      <c r="L8" s="264" t="s">
        <v>379</v>
      </c>
      <c r="M8" s="264" t="s">
        <v>380</v>
      </c>
      <c r="N8" s="264" t="s">
        <v>218</v>
      </c>
      <c r="O8" s="264" t="s">
        <v>405</v>
      </c>
      <c r="P8" s="91"/>
    </row>
    <row r="9" spans="1:16" x14ac:dyDescent="0.2">
      <c r="A9" s="265">
        <v>42644</v>
      </c>
      <c r="B9" s="261"/>
      <c r="C9" s="293">
        <v>1.0840000000000001E-2</v>
      </c>
      <c r="D9" s="293">
        <v>5.6999999999999998E-4</v>
      </c>
      <c r="E9" s="266">
        <v>0</v>
      </c>
      <c r="F9" s="264"/>
      <c r="G9" s="267">
        <f t="shared" ref="G9:G11" si="0">0.00057*10</f>
        <v>5.7000000000000002E-3</v>
      </c>
      <c r="H9" s="264"/>
      <c r="I9" s="286">
        <f t="shared" ref="I9:I34" si="1">B9*10</f>
        <v>0</v>
      </c>
      <c r="J9" s="268">
        <v>5.14</v>
      </c>
      <c r="K9" s="268">
        <v>5.14</v>
      </c>
      <c r="L9" s="268">
        <v>27.41</v>
      </c>
      <c r="M9" s="268">
        <v>259.54000000000002</v>
      </c>
      <c r="N9" s="268">
        <v>2838.87</v>
      </c>
      <c r="O9" s="268">
        <v>0</v>
      </c>
      <c r="P9" s="91"/>
    </row>
    <row r="10" spans="1:16" x14ac:dyDescent="0.2">
      <c r="A10" s="265">
        <v>42614</v>
      </c>
      <c r="B10" s="261"/>
      <c r="C10" s="293">
        <v>1.0840000000000001E-2</v>
      </c>
      <c r="D10" s="293">
        <v>5.6999999999999998E-4</v>
      </c>
      <c r="E10" s="266">
        <v>0</v>
      </c>
      <c r="F10" s="264"/>
      <c r="G10" s="267">
        <f t="shared" si="0"/>
        <v>5.7000000000000002E-3</v>
      </c>
      <c r="H10" s="264"/>
      <c r="I10" s="286">
        <f t="shared" si="1"/>
        <v>0</v>
      </c>
      <c r="J10" s="268">
        <v>5.14</v>
      </c>
      <c r="K10" s="268">
        <v>5.14</v>
      </c>
      <c r="L10" s="268">
        <v>27.41</v>
      </c>
      <c r="M10" s="268">
        <v>259.54000000000002</v>
      </c>
      <c r="N10" s="268">
        <v>2838.87</v>
      </c>
      <c r="O10" s="268">
        <v>0</v>
      </c>
      <c r="P10" s="91"/>
    </row>
    <row r="11" spans="1:16" x14ac:dyDescent="0.2">
      <c r="A11" s="265">
        <v>42583</v>
      </c>
      <c r="B11" s="261"/>
      <c r="C11" s="293">
        <v>1.0840000000000001E-2</v>
      </c>
      <c r="D11" s="293">
        <v>5.6999999999999998E-4</v>
      </c>
      <c r="E11" s="266">
        <v>0</v>
      </c>
      <c r="F11" s="264"/>
      <c r="G11" s="267">
        <f t="shared" si="0"/>
        <v>5.7000000000000002E-3</v>
      </c>
      <c r="H11" s="264"/>
      <c r="I11" s="286">
        <f t="shared" si="1"/>
        <v>0</v>
      </c>
      <c r="J11" s="268">
        <v>5.14</v>
      </c>
      <c r="K11" s="268">
        <v>5.14</v>
      </c>
      <c r="L11" s="268">
        <v>27.41</v>
      </c>
      <c r="M11" s="268">
        <v>259.54000000000002</v>
      </c>
      <c r="N11" s="268">
        <v>2838.87</v>
      </c>
      <c r="O11" s="268">
        <v>0</v>
      </c>
      <c r="P11" s="91"/>
    </row>
    <row r="12" spans="1:16" x14ac:dyDescent="0.2">
      <c r="A12" s="265">
        <v>42552</v>
      </c>
      <c r="B12" s="293">
        <v>0.3513</v>
      </c>
      <c r="C12" s="293">
        <v>1.0840000000000001E-2</v>
      </c>
      <c r="D12" s="293">
        <v>5.6999999999999998E-4</v>
      </c>
      <c r="E12" s="266">
        <v>0</v>
      </c>
      <c r="F12" s="267">
        <v>0.1673</v>
      </c>
      <c r="G12" s="267">
        <f t="shared" ref="G12:G14" si="2">0.00057*10</f>
        <v>5.7000000000000002E-3</v>
      </c>
      <c r="H12" s="267">
        <v>0.84419999999999995</v>
      </c>
      <c r="I12" s="286">
        <f t="shared" si="1"/>
        <v>3.5129999999999999</v>
      </c>
      <c r="J12" s="268">
        <v>5.14</v>
      </c>
      <c r="K12" s="268">
        <v>5.14</v>
      </c>
      <c r="L12" s="268">
        <v>27.41</v>
      </c>
      <c r="M12" s="268">
        <v>259.54000000000002</v>
      </c>
      <c r="N12" s="268">
        <v>2838.87</v>
      </c>
      <c r="O12" s="268">
        <v>0</v>
      </c>
      <c r="P12" s="91"/>
    </row>
    <row r="13" spans="1:16" x14ac:dyDescent="0.2">
      <c r="A13" s="265">
        <v>42522</v>
      </c>
      <c r="B13" s="293">
        <v>0.3513</v>
      </c>
      <c r="C13" s="293">
        <v>1.0840000000000001E-2</v>
      </c>
      <c r="D13" s="293">
        <v>5.6999999999999998E-4</v>
      </c>
      <c r="E13" s="266">
        <v>0</v>
      </c>
      <c r="F13" s="267">
        <v>0.1673</v>
      </c>
      <c r="G13" s="267">
        <f t="shared" si="2"/>
        <v>5.7000000000000002E-3</v>
      </c>
      <c r="H13" s="267">
        <v>0.84419999999999995</v>
      </c>
      <c r="I13" s="286">
        <f t="shared" si="1"/>
        <v>3.5129999999999999</v>
      </c>
      <c r="J13" s="268">
        <v>5.14</v>
      </c>
      <c r="K13" s="268">
        <v>5.14</v>
      </c>
      <c r="L13" s="268">
        <v>27.41</v>
      </c>
      <c r="M13" s="268">
        <v>259.54000000000002</v>
      </c>
      <c r="N13" s="268">
        <v>2838.87</v>
      </c>
      <c r="O13" s="268">
        <v>0</v>
      </c>
      <c r="P13" s="91"/>
    </row>
    <row r="14" spans="1:16" x14ac:dyDescent="0.2">
      <c r="A14" s="265">
        <v>42491</v>
      </c>
      <c r="B14" s="293">
        <v>0.3513</v>
      </c>
      <c r="C14" s="293">
        <v>1.0840000000000001E-2</v>
      </c>
      <c r="D14" s="293">
        <v>5.6999999999999998E-4</v>
      </c>
      <c r="E14" s="266">
        <v>0</v>
      </c>
      <c r="F14" s="267">
        <v>0.1673</v>
      </c>
      <c r="G14" s="267">
        <f t="shared" si="2"/>
        <v>5.7000000000000002E-3</v>
      </c>
      <c r="H14" s="267">
        <v>0.84419999999999995</v>
      </c>
      <c r="I14" s="286">
        <f t="shared" si="1"/>
        <v>3.5129999999999999</v>
      </c>
      <c r="J14" s="268">
        <v>5.14</v>
      </c>
      <c r="K14" s="268">
        <v>5.14</v>
      </c>
      <c r="L14" s="268">
        <v>27.41</v>
      </c>
      <c r="M14" s="268">
        <v>259.54000000000002</v>
      </c>
      <c r="N14" s="268">
        <v>2838.87</v>
      </c>
      <c r="O14" s="268">
        <v>0</v>
      </c>
      <c r="P14" s="91"/>
    </row>
    <row r="15" spans="1:16" x14ac:dyDescent="0.2">
      <c r="A15" s="265">
        <v>42461</v>
      </c>
      <c r="B15" s="293">
        <v>0.32343</v>
      </c>
      <c r="C15" s="293">
        <v>1.0840000000000001E-2</v>
      </c>
      <c r="D15" s="293">
        <v>5.6999999999999998E-4</v>
      </c>
      <c r="E15" s="266">
        <v>0</v>
      </c>
      <c r="F15" s="267">
        <v>0.16619999999999999</v>
      </c>
      <c r="G15" s="267">
        <f>0.00057*10</f>
        <v>5.7000000000000002E-3</v>
      </c>
      <c r="H15" s="267">
        <v>0.83650000000000002</v>
      </c>
      <c r="I15" s="286">
        <f t="shared" si="1"/>
        <v>3.2343000000000002</v>
      </c>
      <c r="J15" s="268">
        <v>4.8499999999999996</v>
      </c>
      <c r="K15" s="268">
        <v>4.8499999999999996</v>
      </c>
      <c r="L15" s="268">
        <v>25.87</v>
      </c>
      <c r="M15" s="268">
        <v>245.08</v>
      </c>
      <c r="N15" s="268">
        <v>2688.31</v>
      </c>
      <c r="O15" s="268">
        <v>0</v>
      </c>
      <c r="P15" s="91"/>
    </row>
    <row r="16" spans="1:16" x14ac:dyDescent="0.2">
      <c r="A16" s="265">
        <v>42430</v>
      </c>
      <c r="B16" s="293">
        <v>0.32343</v>
      </c>
      <c r="C16" s="293">
        <v>9.0699999999999999E-3</v>
      </c>
      <c r="D16" s="293">
        <v>5.4000000000000001E-4</v>
      </c>
      <c r="E16" s="266">
        <v>0</v>
      </c>
      <c r="F16" s="267">
        <v>0.16619999999999999</v>
      </c>
      <c r="G16" s="267">
        <f t="shared" ref="G16:G17" si="3">0.00054*10</f>
        <v>5.4000000000000003E-3</v>
      </c>
      <c r="H16" s="267">
        <v>0.83650000000000002</v>
      </c>
      <c r="I16" s="286">
        <f t="shared" si="1"/>
        <v>3.2343000000000002</v>
      </c>
      <c r="J16" s="268">
        <v>4.8499999999999996</v>
      </c>
      <c r="K16" s="268">
        <v>4.8499999999999996</v>
      </c>
      <c r="L16" s="268">
        <v>25.87</v>
      </c>
      <c r="M16" s="268">
        <v>245.08</v>
      </c>
      <c r="N16" s="268">
        <v>2688.31</v>
      </c>
      <c r="O16" s="268">
        <v>0</v>
      </c>
      <c r="P16" s="91"/>
    </row>
    <row r="17" spans="1:22" x14ac:dyDescent="0.2">
      <c r="A17" s="265">
        <v>42401</v>
      </c>
      <c r="B17" s="293">
        <v>0.32343</v>
      </c>
      <c r="C17" s="293">
        <v>9.0699999999999999E-3</v>
      </c>
      <c r="D17" s="293">
        <v>5.4000000000000001E-4</v>
      </c>
      <c r="E17" s="266">
        <v>0</v>
      </c>
      <c r="F17" s="267">
        <v>0.16619999999999999</v>
      </c>
      <c r="G17" s="267">
        <f t="shared" si="3"/>
        <v>5.4000000000000003E-3</v>
      </c>
      <c r="H17" s="267">
        <v>0.83650000000000002</v>
      </c>
      <c r="I17" s="286">
        <f t="shared" si="1"/>
        <v>3.2343000000000002</v>
      </c>
      <c r="J17" s="268">
        <v>4.8499999999999996</v>
      </c>
      <c r="K17" s="268">
        <v>4.8499999999999996</v>
      </c>
      <c r="L17" s="268">
        <v>25.87</v>
      </c>
      <c r="M17" s="268">
        <v>245.08</v>
      </c>
      <c r="N17" s="268">
        <v>2688.31</v>
      </c>
      <c r="O17" s="268">
        <v>0</v>
      </c>
      <c r="P17" s="91"/>
    </row>
    <row r="18" spans="1:22" x14ac:dyDescent="0.2">
      <c r="A18" s="265">
        <v>42370</v>
      </c>
      <c r="B18" s="293">
        <v>0.34067999999999998</v>
      </c>
      <c r="C18" s="293">
        <v>9.0699999999999999E-3</v>
      </c>
      <c r="D18" s="293">
        <v>5.4000000000000001E-4</v>
      </c>
      <c r="E18" s="266">
        <v>0</v>
      </c>
      <c r="F18" s="267">
        <v>0.16200000000000001</v>
      </c>
      <c r="G18" s="267">
        <f>0.00054*10</f>
        <v>5.4000000000000003E-3</v>
      </c>
      <c r="H18" s="267">
        <v>0.82469999999999999</v>
      </c>
      <c r="I18" s="286">
        <f t="shared" si="1"/>
        <v>3.4067999999999996</v>
      </c>
      <c r="J18" s="268">
        <v>3.77</v>
      </c>
      <c r="K18" s="268">
        <v>3.77</v>
      </c>
      <c r="L18" s="268">
        <v>16.920000000000002</v>
      </c>
      <c r="M18" s="268">
        <v>149.69</v>
      </c>
      <c r="N18" s="268">
        <v>825.48</v>
      </c>
      <c r="O18" s="268">
        <v>0</v>
      </c>
      <c r="P18" s="91"/>
    </row>
    <row r="19" spans="1:22" x14ac:dyDescent="0.2">
      <c r="A19" s="265">
        <v>42339</v>
      </c>
      <c r="B19" s="293">
        <v>0.34067999999999998</v>
      </c>
      <c r="C19" s="293">
        <v>8.3800000000000003E-3</v>
      </c>
      <c r="D19" s="293">
        <v>5.6999999999999998E-4</v>
      </c>
      <c r="E19" s="266">
        <v>0</v>
      </c>
      <c r="F19" s="267">
        <v>0.16200000000000001</v>
      </c>
      <c r="G19" s="267">
        <f t="shared" ref="G19:G26" si="4">0.00057*10</f>
        <v>5.7000000000000002E-3</v>
      </c>
      <c r="H19" s="267">
        <v>0.82469999999999999</v>
      </c>
      <c r="I19" s="286">
        <f t="shared" si="1"/>
        <v>3.4067999999999996</v>
      </c>
      <c r="J19" s="268">
        <v>3.77</v>
      </c>
      <c r="K19" s="268">
        <v>3.77</v>
      </c>
      <c r="L19" s="268">
        <v>16.920000000000002</v>
      </c>
      <c r="M19" s="268">
        <v>149.69</v>
      </c>
      <c r="N19" s="268">
        <v>825.48</v>
      </c>
      <c r="O19" s="268">
        <v>0</v>
      </c>
      <c r="P19" s="91"/>
    </row>
    <row r="20" spans="1:22" x14ac:dyDescent="0.2">
      <c r="A20" s="265">
        <v>42309</v>
      </c>
      <c r="B20" s="293">
        <v>0.34067999999999998</v>
      </c>
      <c r="C20" s="293">
        <v>8.3800000000000003E-3</v>
      </c>
      <c r="D20" s="293">
        <v>5.6999999999999998E-4</v>
      </c>
      <c r="E20" s="266">
        <v>0</v>
      </c>
      <c r="F20" s="267">
        <v>0.16200000000000001</v>
      </c>
      <c r="G20" s="267">
        <f t="shared" si="4"/>
        <v>5.7000000000000002E-3</v>
      </c>
      <c r="H20" s="267">
        <v>0.82469999999999999</v>
      </c>
      <c r="I20" s="286">
        <f t="shared" si="1"/>
        <v>3.4067999999999996</v>
      </c>
      <c r="J20" s="268">
        <v>3.77</v>
      </c>
      <c r="K20" s="268">
        <v>3.77</v>
      </c>
      <c r="L20" s="268">
        <v>16.920000000000002</v>
      </c>
      <c r="M20" s="268">
        <v>149.69</v>
      </c>
      <c r="N20" s="268">
        <v>825.48</v>
      </c>
      <c r="O20" s="268">
        <v>0</v>
      </c>
      <c r="P20" s="91"/>
    </row>
    <row r="21" spans="1:22" x14ac:dyDescent="0.2">
      <c r="A21" s="265">
        <v>42278</v>
      </c>
      <c r="B21" s="293">
        <v>0.29799999999999999</v>
      </c>
      <c r="C21" s="293">
        <v>8.3800000000000003E-3</v>
      </c>
      <c r="D21" s="293">
        <v>5.6999999999999998E-4</v>
      </c>
      <c r="E21" s="266">
        <v>0</v>
      </c>
      <c r="F21" s="267">
        <v>0.15770000000000001</v>
      </c>
      <c r="G21" s="267">
        <f t="shared" si="4"/>
        <v>5.7000000000000002E-3</v>
      </c>
      <c r="H21" s="267">
        <v>0.76959999999999995</v>
      </c>
      <c r="I21" s="286">
        <f t="shared" si="1"/>
        <v>2.98</v>
      </c>
      <c r="J21" s="268">
        <v>3.77</v>
      </c>
      <c r="K21" s="268">
        <v>3.77</v>
      </c>
      <c r="L21" s="268">
        <v>16.920000000000002</v>
      </c>
      <c r="M21" s="268">
        <v>149.69</v>
      </c>
      <c r="N21" s="268">
        <v>825.48</v>
      </c>
      <c r="O21" s="268">
        <v>0</v>
      </c>
      <c r="P21" s="91"/>
    </row>
    <row r="22" spans="1:22" x14ac:dyDescent="0.2">
      <c r="A22" s="265">
        <v>42248</v>
      </c>
      <c r="B22" s="293">
        <v>0.29799999999999999</v>
      </c>
      <c r="C22" s="293">
        <v>8.3800000000000003E-3</v>
      </c>
      <c r="D22" s="293">
        <v>5.6999999999999998E-4</v>
      </c>
      <c r="E22" s="266">
        <v>0</v>
      </c>
      <c r="F22" s="267">
        <v>0.15770000000000001</v>
      </c>
      <c r="G22" s="267">
        <f t="shared" si="4"/>
        <v>5.7000000000000002E-3</v>
      </c>
      <c r="H22" s="267">
        <v>0.76959999999999995</v>
      </c>
      <c r="I22" s="286">
        <f t="shared" si="1"/>
        <v>2.98</v>
      </c>
      <c r="J22" s="268">
        <v>3.77</v>
      </c>
      <c r="K22" s="268">
        <v>3.77</v>
      </c>
      <c r="L22" s="268">
        <v>16.920000000000002</v>
      </c>
      <c r="M22" s="268">
        <v>149.69</v>
      </c>
      <c r="N22" s="268">
        <v>825.48</v>
      </c>
      <c r="O22" s="268">
        <v>0</v>
      </c>
      <c r="P22" s="91"/>
    </row>
    <row r="23" spans="1:22" x14ac:dyDescent="0.2">
      <c r="A23" s="265">
        <v>42217</v>
      </c>
      <c r="B23" s="293">
        <v>0.29799999999999999</v>
      </c>
      <c r="C23" s="293">
        <v>8.3800000000000003E-3</v>
      </c>
      <c r="D23" s="293">
        <v>5.6999999999999998E-4</v>
      </c>
      <c r="E23" s="266">
        <v>0</v>
      </c>
      <c r="F23" s="267">
        <v>0.15770000000000001</v>
      </c>
      <c r="G23" s="267">
        <f t="shared" si="4"/>
        <v>5.7000000000000002E-3</v>
      </c>
      <c r="H23" s="267">
        <v>0.76959999999999995</v>
      </c>
      <c r="I23" s="286">
        <f t="shared" si="1"/>
        <v>2.98</v>
      </c>
      <c r="J23" s="268">
        <v>3.77</v>
      </c>
      <c r="K23" s="268">
        <v>3.77</v>
      </c>
      <c r="L23" s="268">
        <v>16.920000000000002</v>
      </c>
      <c r="M23" s="268">
        <v>149.69</v>
      </c>
      <c r="N23" s="268">
        <v>825.48</v>
      </c>
      <c r="O23" s="268">
        <v>0</v>
      </c>
      <c r="P23" s="91"/>
    </row>
    <row r="24" spans="1:22" x14ac:dyDescent="0.2">
      <c r="A24" s="265">
        <v>42186</v>
      </c>
      <c r="B24" s="293">
        <v>0.41597000000000001</v>
      </c>
      <c r="C24" s="293">
        <v>8.3800000000000003E-3</v>
      </c>
      <c r="D24" s="293">
        <v>5.6999999999999998E-4</v>
      </c>
      <c r="E24" s="266">
        <v>0</v>
      </c>
      <c r="F24" s="267">
        <v>0.15770000000000001</v>
      </c>
      <c r="G24" s="267">
        <f t="shared" si="4"/>
        <v>5.7000000000000002E-3</v>
      </c>
      <c r="H24" s="267">
        <v>0.76910000000000001</v>
      </c>
      <c r="I24" s="286">
        <f t="shared" si="1"/>
        <v>4.1597</v>
      </c>
      <c r="J24" s="268">
        <v>3.77</v>
      </c>
      <c r="K24" s="268">
        <v>3.77</v>
      </c>
      <c r="L24" s="268">
        <v>16.920000000000002</v>
      </c>
      <c r="M24" s="268">
        <v>149.69</v>
      </c>
      <c r="N24" s="268">
        <v>825.48</v>
      </c>
      <c r="O24" s="268">
        <v>0</v>
      </c>
      <c r="P24" s="91"/>
    </row>
    <row r="25" spans="1:22" x14ac:dyDescent="0.2">
      <c r="A25" s="265">
        <v>42156</v>
      </c>
      <c r="B25" s="293">
        <v>0.41597000000000001</v>
      </c>
      <c r="C25" s="293">
        <v>1.311E-2</v>
      </c>
      <c r="D25" s="293">
        <v>5.6999999999999998E-4</v>
      </c>
      <c r="E25" s="266">
        <v>0</v>
      </c>
      <c r="F25" s="267">
        <v>0.15770000000000001</v>
      </c>
      <c r="G25" s="267">
        <f t="shared" si="4"/>
        <v>5.7000000000000002E-3</v>
      </c>
      <c r="H25" s="267">
        <v>0.76910000000000001</v>
      </c>
      <c r="I25" s="286">
        <f t="shared" si="1"/>
        <v>4.1597</v>
      </c>
      <c r="J25" s="268">
        <v>3.77</v>
      </c>
      <c r="K25" s="268">
        <v>3.77</v>
      </c>
      <c r="L25" s="268">
        <v>16.920000000000002</v>
      </c>
      <c r="M25" s="268">
        <v>149.69</v>
      </c>
      <c r="N25" s="268">
        <v>825.48</v>
      </c>
      <c r="O25" s="268">
        <v>0</v>
      </c>
      <c r="P25" s="91"/>
    </row>
    <row r="26" spans="1:22" x14ac:dyDescent="0.2">
      <c r="A26" s="265">
        <v>42125</v>
      </c>
      <c r="B26" s="293">
        <v>0.41597000000000001</v>
      </c>
      <c r="C26" s="293">
        <v>1.311E-2</v>
      </c>
      <c r="D26" s="293">
        <v>5.6999999999999998E-4</v>
      </c>
      <c r="E26" s="266">
        <v>0</v>
      </c>
      <c r="F26" s="267">
        <v>0.15770000000000001</v>
      </c>
      <c r="G26" s="267">
        <f t="shared" si="4"/>
        <v>5.7000000000000002E-3</v>
      </c>
      <c r="H26" s="267">
        <v>0.76910000000000001</v>
      </c>
      <c r="I26" s="286">
        <f t="shared" si="1"/>
        <v>4.1597</v>
      </c>
      <c r="J26" s="268">
        <v>3.77</v>
      </c>
      <c r="K26" s="268">
        <v>3.77</v>
      </c>
      <c r="L26" s="268">
        <v>16.920000000000002</v>
      </c>
      <c r="M26" s="268">
        <v>149.69</v>
      </c>
      <c r="N26" s="268">
        <v>825.48</v>
      </c>
      <c r="O26" s="268">
        <v>0</v>
      </c>
      <c r="P26" s="91"/>
    </row>
    <row r="27" spans="1:22" x14ac:dyDescent="0.2">
      <c r="A27" s="265">
        <v>42095</v>
      </c>
      <c r="B27" s="293">
        <v>0.49951000000000001</v>
      </c>
      <c r="C27" s="293">
        <v>1.311E-2</v>
      </c>
      <c r="D27" s="293">
        <v>5.6999999999999998E-4</v>
      </c>
      <c r="E27" s="266">
        <v>0</v>
      </c>
      <c r="F27" s="267">
        <v>0.15770000000000001</v>
      </c>
      <c r="G27" s="267">
        <f>0.00057*10</f>
        <v>5.7000000000000002E-3</v>
      </c>
      <c r="H27" s="267">
        <v>0.76839999999999997</v>
      </c>
      <c r="I27" s="286">
        <f t="shared" si="1"/>
        <v>4.9950999999999999</v>
      </c>
      <c r="J27" s="268">
        <v>2.5299999999999998</v>
      </c>
      <c r="K27" s="268">
        <v>2.5299999999999998</v>
      </c>
      <c r="L27" s="268">
        <v>11.37</v>
      </c>
      <c r="M27" s="268">
        <v>100.59</v>
      </c>
      <c r="N27" s="268">
        <v>554.69000000000005</v>
      </c>
      <c r="O27" s="268">
        <v>0</v>
      </c>
      <c r="P27" s="91"/>
    </row>
    <row r="28" spans="1:22" ht="15" x14ac:dyDescent="0.25">
      <c r="A28" s="265">
        <v>42064</v>
      </c>
      <c r="B28" s="293">
        <v>0.49951000000000001</v>
      </c>
      <c r="C28" s="293">
        <v>1.941E-2</v>
      </c>
      <c r="D28" s="293">
        <v>9.3000000000000005E-4</v>
      </c>
      <c r="E28" s="266">
        <v>0</v>
      </c>
      <c r="F28" s="267">
        <v>0.15770000000000001</v>
      </c>
      <c r="G28" s="267">
        <f t="shared" ref="G28:G30" si="5">+D28*10</f>
        <v>9.300000000000001E-3</v>
      </c>
      <c r="H28" s="267">
        <v>0.76839999999999997</v>
      </c>
      <c r="I28" s="286">
        <f t="shared" si="1"/>
        <v>4.9950999999999999</v>
      </c>
      <c r="J28" s="268">
        <v>2.5299999999999998</v>
      </c>
      <c r="K28" s="268">
        <v>2.5299999999999998</v>
      </c>
      <c r="L28" s="268">
        <v>11.37</v>
      </c>
      <c r="M28" s="268">
        <v>100.59</v>
      </c>
      <c r="N28" s="268">
        <v>554.69000000000005</v>
      </c>
      <c r="O28" s="268">
        <v>0</v>
      </c>
      <c r="P28" s="91"/>
      <c r="Q28" s="338"/>
      <c r="R28" s="338"/>
      <c r="S28" s="338"/>
      <c r="T28" s="338"/>
      <c r="U28" s="338"/>
      <c r="V28" s="338"/>
    </row>
    <row r="29" spans="1:22" x14ac:dyDescent="0.2">
      <c r="A29" s="265">
        <v>42036</v>
      </c>
      <c r="B29" s="293">
        <v>0.49951000000000001</v>
      </c>
      <c r="C29" s="293">
        <v>1.941E-2</v>
      </c>
      <c r="D29" s="293">
        <v>9.3000000000000005E-4</v>
      </c>
      <c r="E29" s="266">
        <v>0</v>
      </c>
      <c r="F29" s="267">
        <v>0.15770000000000001</v>
      </c>
      <c r="G29" s="267">
        <f t="shared" si="5"/>
        <v>9.300000000000001E-3</v>
      </c>
      <c r="H29" s="267">
        <v>0.76839999999999997</v>
      </c>
      <c r="I29" s="286">
        <f t="shared" si="1"/>
        <v>4.9950999999999999</v>
      </c>
      <c r="J29" s="268">
        <v>2.5299999999999998</v>
      </c>
      <c r="K29" s="268">
        <v>2.5299999999999998</v>
      </c>
      <c r="L29" s="268">
        <v>11.37</v>
      </c>
      <c r="M29" s="268">
        <v>100.59</v>
      </c>
      <c r="N29" s="268">
        <v>554.69000000000005</v>
      </c>
      <c r="O29" s="268">
        <v>0</v>
      </c>
      <c r="P29" s="91"/>
    </row>
    <row r="30" spans="1:22" x14ac:dyDescent="0.2">
      <c r="A30" s="265">
        <v>42005</v>
      </c>
      <c r="B30" s="293">
        <v>0.56128</v>
      </c>
      <c r="C30" s="293">
        <v>1.941E-2</v>
      </c>
      <c r="D30" s="293">
        <v>9.3000000000000005E-4</v>
      </c>
      <c r="E30" s="266">
        <v>0</v>
      </c>
      <c r="F30" s="267">
        <v>0.15759999999999999</v>
      </c>
      <c r="G30" s="267">
        <f t="shared" si="5"/>
        <v>9.300000000000001E-3</v>
      </c>
      <c r="H30" s="267">
        <v>0.7792</v>
      </c>
      <c r="I30" s="286">
        <f t="shared" si="1"/>
        <v>5.6128</v>
      </c>
      <c r="J30" s="268">
        <v>2.5299999999999998</v>
      </c>
      <c r="K30" s="268">
        <v>2.5299999999999998</v>
      </c>
      <c r="L30" s="268">
        <v>11.37</v>
      </c>
      <c r="M30" s="268">
        <v>100.59</v>
      </c>
      <c r="N30" s="268">
        <v>554.69000000000005</v>
      </c>
      <c r="O30" s="268">
        <v>0</v>
      </c>
      <c r="P30" s="91"/>
    </row>
    <row r="31" spans="1:22" x14ac:dyDescent="0.2">
      <c r="A31" s="265">
        <v>41974</v>
      </c>
      <c r="B31" s="293">
        <v>0.56128</v>
      </c>
      <c r="C31" s="293">
        <v>1.6230000000000001E-2</v>
      </c>
      <c r="D31" s="293">
        <v>9.3000000000000005E-4</v>
      </c>
      <c r="E31" s="266">
        <v>0</v>
      </c>
      <c r="F31" s="267">
        <v>0.15759999999999999</v>
      </c>
      <c r="G31" s="267">
        <f>+D31*10</f>
        <v>9.300000000000001E-3</v>
      </c>
      <c r="H31" s="267">
        <v>0.7792</v>
      </c>
      <c r="I31" s="286">
        <f t="shared" si="1"/>
        <v>5.6128</v>
      </c>
      <c r="J31" s="268">
        <v>1.08</v>
      </c>
      <c r="K31" s="268">
        <v>1.08</v>
      </c>
      <c r="L31" s="268">
        <v>4.83</v>
      </c>
      <c r="M31" s="268">
        <v>42.69</v>
      </c>
      <c r="N31" s="268">
        <v>235.45</v>
      </c>
      <c r="O31" s="268">
        <v>0</v>
      </c>
      <c r="P31" s="91"/>
    </row>
    <row r="32" spans="1:22" x14ac:dyDescent="0.2">
      <c r="A32" s="265">
        <v>41944</v>
      </c>
      <c r="B32" s="293">
        <v>0.56128</v>
      </c>
      <c r="C32" s="293">
        <v>1.6230000000000001E-2</v>
      </c>
      <c r="D32" s="293">
        <v>9.3000000000000005E-4</v>
      </c>
      <c r="E32" s="266">
        <v>0</v>
      </c>
      <c r="F32" s="267">
        <v>0.15759999999999999</v>
      </c>
      <c r="G32" s="267">
        <f t="shared" ref="G32:G34" si="6">+D32*10</f>
        <v>9.300000000000001E-3</v>
      </c>
      <c r="H32" s="267">
        <v>0.7792</v>
      </c>
      <c r="I32" s="286">
        <f t="shared" si="1"/>
        <v>5.6128</v>
      </c>
      <c r="J32" s="268">
        <v>1.08</v>
      </c>
      <c r="K32" s="268">
        <v>1.08</v>
      </c>
      <c r="L32" s="268">
        <v>4.83</v>
      </c>
      <c r="M32" s="268">
        <v>42.69</v>
      </c>
      <c r="N32" s="268">
        <v>235.45</v>
      </c>
      <c r="O32" s="268">
        <v>0</v>
      </c>
      <c r="P32" s="91"/>
    </row>
    <row r="33" spans="1:19" x14ac:dyDescent="0.2">
      <c r="A33" s="265">
        <v>41913</v>
      </c>
      <c r="B33" s="293">
        <v>0.62312999999999996</v>
      </c>
      <c r="C33" s="293">
        <v>1.6230000000000001E-2</v>
      </c>
      <c r="D33" s="293">
        <v>9.3000000000000005E-4</v>
      </c>
      <c r="E33" s="266">
        <v>0</v>
      </c>
      <c r="F33" s="267">
        <v>0.1515</v>
      </c>
      <c r="G33" s="267">
        <f t="shared" si="6"/>
        <v>9.300000000000001E-3</v>
      </c>
      <c r="H33" s="267">
        <v>0.80359999999999998</v>
      </c>
      <c r="I33" s="286">
        <f t="shared" si="1"/>
        <v>6.2312999999999992</v>
      </c>
      <c r="J33" s="268">
        <v>1.08</v>
      </c>
      <c r="K33" s="268">
        <v>1.08</v>
      </c>
      <c r="L33" s="268">
        <v>4.83</v>
      </c>
      <c r="M33" s="268">
        <v>42.69</v>
      </c>
      <c r="N33" s="268">
        <v>235.45</v>
      </c>
      <c r="O33" s="268">
        <v>0</v>
      </c>
      <c r="P33" s="91"/>
    </row>
    <row r="34" spans="1:19" x14ac:dyDescent="0.2">
      <c r="A34" s="265">
        <v>41883</v>
      </c>
      <c r="B34" s="293">
        <v>0.62312999999999996</v>
      </c>
      <c r="C34" s="293">
        <v>1.6230000000000001E-2</v>
      </c>
      <c r="D34" s="293">
        <v>9.3000000000000005E-4</v>
      </c>
      <c r="E34" s="266">
        <v>0</v>
      </c>
      <c r="F34" s="267">
        <v>0.1515</v>
      </c>
      <c r="G34" s="267">
        <f t="shared" si="6"/>
        <v>9.300000000000001E-3</v>
      </c>
      <c r="H34" s="267">
        <v>0.80359999999999998</v>
      </c>
      <c r="I34" s="286">
        <f t="shared" si="1"/>
        <v>6.2312999999999992</v>
      </c>
      <c r="J34" s="268">
        <v>1.08</v>
      </c>
      <c r="K34" s="268">
        <v>1.08</v>
      </c>
      <c r="L34" s="268">
        <v>4.83</v>
      </c>
      <c r="M34" s="268">
        <v>42.69</v>
      </c>
      <c r="N34" s="268">
        <v>235.45</v>
      </c>
      <c r="O34" s="268">
        <v>0</v>
      </c>
      <c r="P34" s="91"/>
    </row>
    <row r="35" spans="1:19" x14ac:dyDescent="0.2">
      <c r="A35" s="265">
        <v>41852</v>
      </c>
      <c r="B35" s="293">
        <v>0.62312999999999996</v>
      </c>
      <c r="C35" s="293">
        <v>1.6230000000000001E-2</v>
      </c>
      <c r="D35" s="293">
        <v>9.3000000000000005E-4</v>
      </c>
      <c r="E35" s="266">
        <v>0</v>
      </c>
      <c r="F35" s="267">
        <v>0.1515</v>
      </c>
      <c r="G35" s="267">
        <f>+D35*10</f>
        <v>9.300000000000001E-3</v>
      </c>
      <c r="H35" s="267">
        <v>0.80359999999999998</v>
      </c>
      <c r="I35" s="286">
        <f t="shared" ref="I35:I52" si="7">B35*10</f>
        <v>6.2312999999999992</v>
      </c>
      <c r="J35" s="268">
        <v>1.08</v>
      </c>
      <c r="K35" s="268">
        <v>1.08</v>
      </c>
      <c r="L35" s="268">
        <v>4.83</v>
      </c>
      <c r="M35" s="268">
        <v>42.69</v>
      </c>
      <c r="N35" s="268">
        <v>235.45</v>
      </c>
      <c r="O35" s="268">
        <v>0</v>
      </c>
      <c r="P35" s="91"/>
    </row>
    <row r="36" spans="1:19" x14ac:dyDescent="0.2">
      <c r="A36" s="265">
        <v>41821</v>
      </c>
      <c r="B36" s="293">
        <v>0.59587999999999997</v>
      </c>
      <c r="C36" s="293">
        <v>1.6230000000000001E-2</v>
      </c>
      <c r="D36" s="293">
        <v>9.3000000000000005E-4</v>
      </c>
      <c r="E36" s="266">
        <v>0</v>
      </c>
      <c r="F36" s="267">
        <v>0.1515</v>
      </c>
      <c r="G36" s="267">
        <f t="shared" ref="G36:G52" si="8">+D36*10</f>
        <v>9.300000000000001E-3</v>
      </c>
      <c r="H36" s="267">
        <v>0.80220000000000002</v>
      </c>
      <c r="I36" s="286">
        <f t="shared" si="7"/>
        <v>5.9588000000000001</v>
      </c>
      <c r="J36" s="268">
        <v>1.08</v>
      </c>
      <c r="K36" s="268">
        <v>1.08</v>
      </c>
      <c r="L36" s="268">
        <v>4.83</v>
      </c>
      <c r="M36" s="268">
        <v>42.69</v>
      </c>
      <c r="N36" s="268">
        <v>235.45</v>
      </c>
      <c r="O36" s="268">
        <v>0</v>
      </c>
      <c r="P36" s="267"/>
      <c r="S36" s="293"/>
    </row>
    <row r="37" spans="1:19" x14ac:dyDescent="0.2">
      <c r="A37" s="265">
        <v>41791</v>
      </c>
      <c r="B37" s="293">
        <v>0.59587999999999997</v>
      </c>
      <c r="C37" s="293">
        <v>1.6230000000000001E-2</v>
      </c>
      <c r="D37" s="293">
        <v>9.3000000000000005E-4</v>
      </c>
      <c r="E37" s="266">
        <v>0</v>
      </c>
      <c r="F37" s="267">
        <v>0.1515</v>
      </c>
      <c r="G37" s="267">
        <f t="shared" si="8"/>
        <v>9.300000000000001E-3</v>
      </c>
      <c r="H37" s="267">
        <v>0.80220000000000002</v>
      </c>
      <c r="I37" s="286">
        <f t="shared" si="7"/>
        <v>5.9588000000000001</v>
      </c>
      <c r="J37" s="268">
        <v>1.08</v>
      </c>
      <c r="K37" s="268">
        <v>1.08</v>
      </c>
      <c r="L37" s="268">
        <v>4.83</v>
      </c>
      <c r="M37" s="268">
        <v>42.69</v>
      </c>
      <c r="N37" s="268">
        <v>235.45</v>
      </c>
      <c r="O37" s="268">
        <v>0</v>
      </c>
      <c r="P37" s="91"/>
      <c r="S37" s="293"/>
    </row>
    <row r="38" spans="1:19" x14ac:dyDescent="0.2">
      <c r="A38" s="269">
        <v>41760</v>
      </c>
      <c r="B38" s="293">
        <v>0.59587999999999997</v>
      </c>
      <c r="C38" s="293">
        <v>1.6230000000000001E-2</v>
      </c>
      <c r="D38" s="293">
        <v>9.3000000000000005E-4</v>
      </c>
      <c r="E38" s="266">
        <v>0</v>
      </c>
      <c r="F38" s="267">
        <v>0.1515</v>
      </c>
      <c r="G38" s="267">
        <f t="shared" si="8"/>
        <v>9.300000000000001E-3</v>
      </c>
      <c r="H38" s="267">
        <v>0.80220000000000002</v>
      </c>
      <c r="I38" s="286">
        <f t="shared" si="7"/>
        <v>5.9588000000000001</v>
      </c>
      <c r="J38" s="268">
        <v>1.08</v>
      </c>
      <c r="K38" s="268">
        <v>1.08</v>
      </c>
      <c r="L38" s="268">
        <v>4.83</v>
      </c>
      <c r="M38" s="268">
        <v>42.69</v>
      </c>
      <c r="N38" s="268">
        <v>235.45</v>
      </c>
      <c r="O38" s="268">
        <v>0</v>
      </c>
      <c r="P38" s="91"/>
      <c r="S38" s="293"/>
    </row>
    <row r="39" spans="1:19" x14ac:dyDescent="0.2">
      <c r="A39" s="269">
        <v>41730</v>
      </c>
      <c r="B39" s="293">
        <v>0.51890999999999998</v>
      </c>
      <c r="C39" s="293">
        <v>1.6230000000000001E-2</v>
      </c>
      <c r="D39" s="293">
        <v>9.3000000000000005E-4</v>
      </c>
      <c r="E39" s="266">
        <v>0</v>
      </c>
      <c r="F39" s="267">
        <v>0.152</v>
      </c>
      <c r="G39" s="267">
        <f t="shared" si="8"/>
        <v>9.300000000000001E-3</v>
      </c>
      <c r="H39" s="267">
        <v>0.80189999999999995</v>
      </c>
      <c r="I39" s="286">
        <f t="shared" si="7"/>
        <v>5.1890999999999998</v>
      </c>
      <c r="J39" s="268">
        <v>2.35</v>
      </c>
      <c r="K39" s="268">
        <v>2.35</v>
      </c>
      <c r="L39" s="268">
        <v>10.54</v>
      </c>
      <c r="M39" s="268">
        <v>93.2</v>
      </c>
      <c r="N39" s="268">
        <v>513.95000000000005</v>
      </c>
      <c r="O39" s="268">
        <v>0</v>
      </c>
      <c r="P39" s="91"/>
      <c r="S39" s="293"/>
    </row>
    <row r="40" spans="1:19" x14ac:dyDescent="0.2">
      <c r="A40" s="269">
        <v>41699</v>
      </c>
      <c r="B40" s="293">
        <v>0.51890999999999998</v>
      </c>
      <c r="C40" s="293">
        <v>2.1399999999999999E-2</v>
      </c>
      <c r="D40" s="293">
        <v>9.7999999999999997E-4</v>
      </c>
      <c r="E40" s="266">
        <v>0</v>
      </c>
      <c r="F40" s="267">
        <v>0.152</v>
      </c>
      <c r="G40" s="267">
        <f t="shared" si="8"/>
        <v>9.7999999999999997E-3</v>
      </c>
      <c r="H40" s="267">
        <v>0.80189999999999995</v>
      </c>
      <c r="I40" s="286">
        <f t="shared" si="7"/>
        <v>5.1890999999999998</v>
      </c>
      <c r="J40" s="268">
        <v>2.35</v>
      </c>
      <c r="K40" s="268">
        <v>2.35</v>
      </c>
      <c r="L40" s="268">
        <v>10.54</v>
      </c>
      <c r="M40" s="268">
        <v>93.2</v>
      </c>
      <c r="N40" s="268">
        <v>513.95000000000005</v>
      </c>
      <c r="O40" s="268">
        <v>0</v>
      </c>
      <c r="P40" s="91"/>
      <c r="S40" s="293"/>
    </row>
    <row r="41" spans="1:19" x14ac:dyDescent="0.2">
      <c r="A41" s="269">
        <v>41671</v>
      </c>
      <c r="B41" s="293">
        <v>0.51890999999999998</v>
      </c>
      <c r="C41" s="293">
        <v>2.1399999999999999E-2</v>
      </c>
      <c r="D41" s="293">
        <v>9.7999999999999997E-4</v>
      </c>
      <c r="E41" s="266">
        <v>0</v>
      </c>
      <c r="F41" s="267">
        <v>0.152</v>
      </c>
      <c r="G41" s="267">
        <f t="shared" si="8"/>
        <v>9.7999999999999997E-3</v>
      </c>
      <c r="H41" s="267">
        <v>0.80189999999999995</v>
      </c>
      <c r="I41" s="286">
        <f t="shared" si="7"/>
        <v>5.1890999999999998</v>
      </c>
      <c r="J41" s="268">
        <v>2.35</v>
      </c>
      <c r="K41" s="268">
        <v>2.35</v>
      </c>
      <c r="L41" s="268">
        <v>10.54</v>
      </c>
      <c r="M41" s="268">
        <v>93.2</v>
      </c>
      <c r="N41" s="268">
        <v>513.95000000000005</v>
      </c>
      <c r="O41" s="268">
        <v>0</v>
      </c>
      <c r="P41" s="91"/>
      <c r="S41" s="293"/>
    </row>
    <row r="42" spans="1:19" x14ac:dyDescent="0.2">
      <c r="A42" s="269">
        <v>41640</v>
      </c>
      <c r="B42" s="293">
        <v>0.51737</v>
      </c>
      <c r="C42" s="293">
        <v>2.1399999999999999E-2</v>
      </c>
      <c r="D42" s="293">
        <v>9.7999999999999997E-4</v>
      </c>
      <c r="E42" s="266">
        <v>0</v>
      </c>
      <c r="F42" s="267">
        <v>0.15210000000000001</v>
      </c>
      <c r="G42" s="267">
        <f t="shared" si="8"/>
        <v>9.7999999999999997E-3</v>
      </c>
      <c r="H42" s="267">
        <v>0.87580000000000002</v>
      </c>
      <c r="I42" s="286">
        <f t="shared" si="7"/>
        <v>5.1737000000000002</v>
      </c>
      <c r="J42" s="268">
        <v>2.35</v>
      </c>
      <c r="K42" s="268">
        <v>2.35</v>
      </c>
      <c r="L42" s="268">
        <v>10.54</v>
      </c>
      <c r="M42" s="268">
        <v>93.2</v>
      </c>
      <c r="N42" s="268">
        <v>513.95000000000005</v>
      </c>
      <c r="O42" s="268">
        <v>0</v>
      </c>
      <c r="P42" s="91"/>
      <c r="S42" s="293"/>
    </row>
    <row r="43" spans="1:19" x14ac:dyDescent="0.2">
      <c r="A43" s="269">
        <v>41609</v>
      </c>
      <c r="B43" s="293">
        <v>0.51737</v>
      </c>
      <c r="C43" s="293">
        <v>1.7610000000000001E-2</v>
      </c>
      <c r="D43" s="293">
        <v>9.5E-4</v>
      </c>
      <c r="E43" s="266">
        <v>0</v>
      </c>
      <c r="F43" s="267">
        <v>0.15210000000000001</v>
      </c>
      <c r="G43" s="267">
        <f t="shared" si="8"/>
        <v>9.4999999999999998E-3</v>
      </c>
      <c r="H43" s="267">
        <v>0.87580000000000002</v>
      </c>
      <c r="I43" s="286">
        <f t="shared" si="7"/>
        <v>5.1737000000000002</v>
      </c>
      <c r="J43" s="268">
        <v>2.27</v>
      </c>
      <c r="K43" s="268">
        <v>2.27</v>
      </c>
      <c r="L43" s="268">
        <v>11.24</v>
      </c>
      <c r="M43" s="268">
        <v>90.32</v>
      </c>
      <c r="N43" s="268">
        <v>498.09</v>
      </c>
      <c r="O43" s="268">
        <v>0</v>
      </c>
      <c r="P43" s="91"/>
      <c r="S43" s="293"/>
    </row>
    <row r="44" spans="1:19" x14ac:dyDescent="0.2">
      <c r="A44" s="269">
        <v>41579</v>
      </c>
      <c r="B44" s="293">
        <v>0.51737</v>
      </c>
      <c r="C44" s="293">
        <v>1.7610000000000001E-2</v>
      </c>
      <c r="D44" s="293">
        <v>9.5E-4</v>
      </c>
      <c r="E44" s="266">
        <v>0</v>
      </c>
      <c r="F44" s="267">
        <v>0.15210000000000001</v>
      </c>
      <c r="G44" s="267">
        <f t="shared" si="8"/>
        <v>9.4999999999999998E-3</v>
      </c>
      <c r="H44" s="267">
        <v>0.87580000000000002</v>
      </c>
      <c r="I44" s="286">
        <f t="shared" si="7"/>
        <v>5.1737000000000002</v>
      </c>
      <c r="J44" s="268">
        <v>2.27</v>
      </c>
      <c r="K44" s="268">
        <v>2.27</v>
      </c>
      <c r="L44" s="268">
        <v>11.24</v>
      </c>
      <c r="M44" s="268">
        <v>90.32</v>
      </c>
      <c r="N44" s="268">
        <v>498.09</v>
      </c>
      <c r="O44" s="268">
        <v>0</v>
      </c>
      <c r="P44" s="91"/>
      <c r="S44" s="293"/>
    </row>
    <row r="45" spans="1:19" x14ac:dyDescent="0.2">
      <c r="A45" s="269">
        <v>41548</v>
      </c>
      <c r="B45" s="293">
        <v>0.55167999999999995</v>
      </c>
      <c r="C45" s="293">
        <v>1.7610000000000001E-2</v>
      </c>
      <c r="D45" s="293">
        <v>9.5E-4</v>
      </c>
      <c r="E45" s="266">
        <v>0</v>
      </c>
      <c r="F45" s="267">
        <v>0.15</v>
      </c>
      <c r="G45" s="267">
        <f t="shared" si="8"/>
        <v>9.4999999999999998E-3</v>
      </c>
      <c r="H45" s="267">
        <v>0.80730000000000002</v>
      </c>
      <c r="I45" s="286">
        <f t="shared" si="7"/>
        <v>5.5167999999999999</v>
      </c>
      <c r="J45" s="268">
        <v>2.27</v>
      </c>
      <c r="K45" s="268">
        <v>2.27</v>
      </c>
      <c r="L45" s="268">
        <v>11.24</v>
      </c>
      <c r="M45" s="268">
        <v>90.32</v>
      </c>
      <c r="N45" s="268">
        <v>498.09</v>
      </c>
      <c r="O45" s="268">
        <v>0</v>
      </c>
      <c r="P45" s="91"/>
      <c r="S45" s="293"/>
    </row>
    <row r="46" spans="1:19" x14ac:dyDescent="0.2">
      <c r="A46" s="269">
        <v>41518</v>
      </c>
      <c r="B46" s="293">
        <v>0.55167999999999995</v>
      </c>
      <c r="C46" s="293">
        <v>1.7610000000000001E-2</v>
      </c>
      <c r="D46" s="293">
        <v>9.5E-4</v>
      </c>
      <c r="E46" s="266">
        <v>0</v>
      </c>
      <c r="F46" s="267">
        <v>0.15</v>
      </c>
      <c r="G46" s="267">
        <f t="shared" si="8"/>
        <v>9.4999999999999998E-3</v>
      </c>
      <c r="H46" s="267">
        <v>0.80730000000000002</v>
      </c>
      <c r="I46" s="286">
        <f t="shared" si="7"/>
        <v>5.5167999999999999</v>
      </c>
      <c r="J46" s="268">
        <v>2.27</v>
      </c>
      <c r="K46" s="268">
        <v>2.27</v>
      </c>
      <c r="L46" s="268">
        <v>11.24</v>
      </c>
      <c r="M46" s="268">
        <v>90.32</v>
      </c>
      <c r="N46" s="268">
        <v>498.09</v>
      </c>
      <c r="O46" s="268">
        <v>0</v>
      </c>
      <c r="P46" s="91"/>
      <c r="S46" s="293"/>
    </row>
    <row r="47" spans="1:19" x14ac:dyDescent="0.2">
      <c r="A47" s="269">
        <v>41487</v>
      </c>
      <c r="B47" s="293">
        <v>0.55167999999999995</v>
      </c>
      <c r="C47" s="293">
        <v>1.7610000000000001E-2</v>
      </c>
      <c r="D47" s="293">
        <v>9.5E-4</v>
      </c>
      <c r="E47" s="266">
        <v>0</v>
      </c>
      <c r="F47" s="267">
        <v>0.15</v>
      </c>
      <c r="G47" s="267">
        <f t="shared" si="8"/>
        <v>9.4999999999999998E-3</v>
      </c>
      <c r="H47" s="267">
        <v>0.80730000000000002</v>
      </c>
      <c r="I47" s="286">
        <f t="shared" si="7"/>
        <v>5.5167999999999999</v>
      </c>
      <c r="J47" s="268">
        <v>2.27</v>
      </c>
      <c r="K47" s="268">
        <v>2.27</v>
      </c>
      <c r="L47" s="268">
        <v>11.24</v>
      </c>
      <c r="M47" s="268">
        <v>90.32</v>
      </c>
      <c r="N47" s="268">
        <v>498.09</v>
      </c>
      <c r="O47" s="268">
        <v>0</v>
      </c>
      <c r="P47" s="91"/>
      <c r="S47" s="293"/>
    </row>
    <row r="48" spans="1:19" x14ac:dyDescent="0.2">
      <c r="A48" s="269">
        <v>41456</v>
      </c>
      <c r="B48" s="293">
        <v>0.53324000000000005</v>
      </c>
      <c r="C48" s="293">
        <v>1.7610000000000001E-2</v>
      </c>
      <c r="D48" s="293">
        <v>9.5E-4</v>
      </c>
      <c r="E48" s="266">
        <v>0</v>
      </c>
      <c r="F48" s="267">
        <v>0.15</v>
      </c>
      <c r="G48" s="267">
        <f t="shared" si="8"/>
        <v>9.4999999999999998E-3</v>
      </c>
      <c r="H48" s="267">
        <v>0.8024</v>
      </c>
      <c r="I48" s="286">
        <f t="shared" si="7"/>
        <v>5.3324000000000007</v>
      </c>
      <c r="J48" s="268">
        <v>2.27</v>
      </c>
      <c r="K48" s="268">
        <v>2.27</v>
      </c>
      <c r="L48" s="268">
        <v>11.24</v>
      </c>
      <c r="M48" s="268">
        <v>90.32</v>
      </c>
      <c r="N48" s="268">
        <v>498.09</v>
      </c>
      <c r="O48" s="268">
        <v>0</v>
      </c>
      <c r="P48" s="91"/>
      <c r="S48" s="293"/>
    </row>
    <row r="49" spans="1:19" x14ac:dyDescent="0.2">
      <c r="A49" s="269">
        <v>41426</v>
      </c>
      <c r="B49" s="293">
        <v>0.53324000000000005</v>
      </c>
      <c r="C49" s="293">
        <v>1.7610000000000001E-2</v>
      </c>
      <c r="D49" s="293">
        <v>9.5E-4</v>
      </c>
      <c r="E49" s="266">
        <v>0</v>
      </c>
      <c r="F49" s="267">
        <v>0.15</v>
      </c>
      <c r="G49" s="267">
        <f t="shared" si="8"/>
        <v>9.4999999999999998E-3</v>
      </c>
      <c r="H49" s="267">
        <v>0.8024</v>
      </c>
      <c r="I49" s="286">
        <f t="shared" si="7"/>
        <v>5.3324000000000007</v>
      </c>
      <c r="J49" s="268">
        <v>2.27</v>
      </c>
      <c r="K49" s="268">
        <v>2.27</v>
      </c>
      <c r="L49" s="268">
        <v>11.24</v>
      </c>
      <c r="M49" s="268">
        <v>90.32</v>
      </c>
      <c r="N49" s="268">
        <v>498.09</v>
      </c>
      <c r="O49" s="268">
        <v>0</v>
      </c>
      <c r="P49" s="91"/>
      <c r="S49" s="293"/>
    </row>
    <row r="50" spans="1:19" x14ac:dyDescent="0.2">
      <c r="A50" s="269">
        <v>41395</v>
      </c>
      <c r="B50" s="293">
        <v>0.53324000000000005</v>
      </c>
      <c r="C50" s="293">
        <v>1.7610000000000001E-2</v>
      </c>
      <c r="D50" s="293">
        <v>9.5E-4</v>
      </c>
      <c r="E50" s="266">
        <v>0</v>
      </c>
      <c r="F50" s="267">
        <v>0.15</v>
      </c>
      <c r="G50" s="267">
        <f t="shared" si="8"/>
        <v>9.4999999999999998E-3</v>
      </c>
      <c r="H50" s="267">
        <v>0.8024</v>
      </c>
      <c r="I50" s="286">
        <f t="shared" si="7"/>
        <v>5.3324000000000007</v>
      </c>
      <c r="J50" s="268">
        <v>2.27</v>
      </c>
      <c r="K50" s="268">
        <v>2.27</v>
      </c>
      <c r="L50" s="268">
        <v>11.24</v>
      </c>
      <c r="M50" s="268">
        <v>90.32</v>
      </c>
      <c r="N50" s="268">
        <v>498.09</v>
      </c>
      <c r="O50" s="268">
        <v>0</v>
      </c>
      <c r="P50" s="91"/>
      <c r="S50" s="293"/>
    </row>
    <row r="51" spans="1:19" x14ac:dyDescent="0.2">
      <c r="A51" s="269">
        <v>41365</v>
      </c>
      <c r="B51" s="293">
        <v>0.43069000000000002</v>
      </c>
      <c r="C51" s="293">
        <v>1.7610000000000001E-2</v>
      </c>
      <c r="D51" s="293">
        <v>9.5E-4</v>
      </c>
      <c r="E51" s="266">
        <v>0</v>
      </c>
      <c r="F51" s="267">
        <v>0.15</v>
      </c>
      <c r="G51" s="267">
        <f t="shared" si="8"/>
        <v>9.4999999999999998E-3</v>
      </c>
      <c r="H51" s="267">
        <v>0.79590000000000005</v>
      </c>
      <c r="I51" s="286">
        <f t="shared" si="7"/>
        <v>4.3069000000000006</v>
      </c>
      <c r="J51" s="268">
        <v>2.27</v>
      </c>
      <c r="K51" s="268">
        <v>2.27</v>
      </c>
      <c r="L51" s="268">
        <v>11.24</v>
      </c>
      <c r="M51" s="268">
        <v>90.32</v>
      </c>
      <c r="N51" s="268">
        <v>498.09</v>
      </c>
      <c r="O51" s="268">
        <v>0</v>
      </c>
      <c r="P51" s="91"/>
      <c r="S51" s="293"/>
    </row>
    <row r="52" spans="1:19" customFormat="1" ht="15" x14ac:dyDescent="0.25">
      <c r="A52" s="269">
        <v>41334</v>
      </c>
      <c r="B52" s="293">
        <v>0.43069000000000002</v>
      </c>
      <c r="C52" s="293">
        <v>1.307E-2</v>
      </c>
      <c r="D52" s="293">
        <v>9.3999999999999997E-4</v>
      </c>
      <c r="E52" s="266">
        <v>0</v>
      </c>
      <c r="F52" s="267">
        <v>0.15</v>
      </c>
      <c r="G52" s="267">
        <f t="shared" si="8"/>
        <v>9.4000000000000004E-3</v>
      </c>
      <c r="H52" s="267">
        <v>0.79590000000000005</v>
      </c>
      <c r="I52" s="286">
        <f t="shared" si="7"/>
        <v>4.3069000000000006</v>
      </c>
      <c r="J52" s="268">
        <v>2.27</v>
      </c>
      <c r="K52" s="268">
        <v>2.27</v>
      </c>
      <c r="L52" s="268">
        <v>11.24</v>
      </c>
      <c r="M52" s="268">
        <v>90.32</v>
      </c>
      <c r="N52" s="268">
        <v>498.09</v>
      </c>
      <c r="O52" s="268">
        <v>0</v>
      </c>
      <c r="P52" s="57"/>
      <c r="S52" s="293"/>
    </row>
    <row r="53" spans="1:19" customFormat="1" ht="15" x14ac:dyDescent="0.25">
      <c r="A53" s="91"/>
      <c r="B53" s="57"/>
      <c r="C53" s="57"/>
      <c r="G53" s="57"/>
      <c r="I53" s="57"/>
      <c r="S53" s="293"/>
    </row>
    <row r="54" spans="1:19" customFormat="1" ht="15" x14ac:dyDescent="0.25">
      <c r="A54" s="46" t="s">
        <v>387</v>
      </c>
      <c r="B54" s="84"/>
      <c r="C54" s="84"/>
      <c r="G54" s="57"/>
      <c r="I54" s="57"/>
    </row>
    <row r="55" spans="1:19" customFormat="1" ht="15" x14ac:dyDescent="0.25">
      <c r="G55" s="57"/>
      <c r="I55" s="57"/>
    </row>
    <row r="56" spans="1:19" customFormat="1" ht="15" x14ac:dyDescent="0.25">
      <c r="G56" s="57"/>
      <c r="I56" s="57"/>
    </row>
    <row r="57" spans="1:19" customFormat="1" ht="15" x14ac:dyDescent="0.25">
      <c r="G57" s="57"/>
      <c r="I57" s="57"/>
    </row>
    <row r="58" spans="1:19" customFormat="1" ht="15" x14ac:dyDescent="0.25">
      <c r="G58" s="57"/>
      <c r="I58" s="57"/>
    </row>
    <row r="59" spans="1:19" customFormat="1" ht="15" x14ac:dyDescent="0.25">
      <c r="G59" s="57"/>
      <c r="I59" s="57"/>
    </row>
    <row r="60" spans="1:19" ht="15" x14ac:dyDescent="0.25">
      <c r="A60"/>
      <c r="B60"/>
      <c r="C60"/>
      <c r="D60"/>
      <c r="E60"/>
      <c r="F60"/>
      <c r="G60" s="57"/>
      <c r="H60"/>
    </row>
    <row r="61" spans="1:19" ht="15" x14ac:dyDescent="0.25">
      <c r="A61"/>
      <c r="B61"/>
      <c r="C61"/>
      <c r="D61"/>
      <c r="E61"/>
      <c r="F61"/>
      <c r="G61" s="57"/>
      <c r="H61"/>
    </row>
    <row r="62" spans="1:19" ht="15" x14ac:dyDescent="0.25">
      <c r="A62"/>
      <c r="B62"/>
      <c r="C62"/>
      <c r="D62"/>
      <c r="E62"/>
      <c r="F62"/>
      <c r="G62" s="57"/>
      <c r="H62"/>
    </row>
    <row r="63" spans="1:19" ht="15" x14ac:dyDescent="0.25">
      <c r="A63"/>
      <c r="B63"/>
      <c r="C63"/>
      <c r="D63"/>
      <c r="E63"/>
      <c r="F63"/>
      <c r="G63" s="57"/>
      <c r="H63"/>
    </row>
    <row r="64" spans="1:19" ht="15" x14ac:dyDescent="0.25">
      <c r="A64"/>
      <c r="B64"/>
      <c r="C64"/>
      <c r="D64"/>
      <c r="E64"/>
      <c r="F64"/>
      <c r="G64" s="57"/>
      <c r="H64"/>
    </row>
    <row r="65" spans="1:8" ht="15" x14ac:dyDescent="0.25">
      <c r="A65"/>
      <c r="B65"/>
      <c r="C65"/>
      <c r="D65"/>
      <c r="E65"/>
      <c r="F65"/>
      <c r="G65" s="57"/>
      <c r="H65"/>
    </row>
    <row r="66" spans="1:8" ht="15" x14ac:dyDescent="0.25">
      <c r="A66"/>
      <c r="B66"/>
      <c r="C66"/>
      <c r="D66"/>
      <c r="E66"/>
      <c r="F66"/>
      <c r="G66" s="57"/>
      <c r="H66"/>
    </row>
    <row r="67" spans="1:8" ht="15" x14ac:dyDescent="0.25">
      <c r="A67"/>
      <c r="B67"/>
      <c r="C67"/>
      <c r="D67"/>
      <c r="E67"/>
      <c r="F67"/>
      <c r="G67" s="57"/>
      <c r="H67"/>
    </row>
    <row r="68" spans="1:8" ht="15" x14ac:dyDescent="0.25">
      <c r="A68"/>
      <c r="B68"/>
      <c r="C68"/>
      <c r="D68"/>
      <c r="E68"/>
      <c r="F68"/>
      <c r="G68" s="57"/>
      <c r="H68"/>
    </row>
    <row r="69" spans="1:8" ht="15" x14ac:dyDescent="0.25">
      <c r="A69"/>
      <c r="B69"/>
      <c r="C69"/>
      <c r="D69"/>
      <c r="E69"/>
      <c r="F69"/>
      <c r="G69" s="57"/>
      <c r="H69"/>
    </row>
    <row r="70" spans="1:8" ht="15" x14ac:dyDescent="0.25">
      <c r="A70"/>
      <c r="B70"/>
      <c r="C70"/>
      <c r="D70"/>
      <c r="E70"/>
      <c r="F70"/>
      <c r="G70" s="57"/>
      <c r="H70"/>
    </row>
    <row r="71" spans="1:8" ht="15" x14ac:dyDescent="0.25">
      <c r="A71"/>
      <c r="B71"/>
      <c r="C71"/>
      <c r="D71"/>
      <c r="E71"/>
      <c r="F71"/>
      <c r="G71" s="57"/>
      <c r="H71"/>
    </row>
    <row r="72" spans="1:8" ht="15" x14ac:dyDescent="0.25">
      <c r="A72"/>
      <c r="B72"/>
      <c r="C72"/>
      <c r="D72"/>
      <c r="E72"/>
      <c r="F72"/>
      <c r="G72" s="57"/>
      <c r="H72"/>
    </row>
    <row r="73" spans="1:8" ht="15" x14ac:dyDescent="0.25">
      <c r="A73"/>
      <c r="B73"/>
      <c r="C73"/>
      <c r="D73"/>
      <c r="E73"/>
      <c r="F73"/>
      <c r="G73" s="57"/>
      <c r="H73"/>
    </row>
    <row r="74" spans="1:8" ht="15" x14ac:dyDescent="0.25">
      <c r="A74"/>
      <c r="B74"/>
      <c r="C74"/>
      <c r="D74"/>
      <c r="E74"/>
      <c r="F74"/>
      <c r="G74" s="57"/>
      <c r="H74"/>
    </row>
    <row r="75" spans="1:8" ht="15" x14ac:dyDescent="0.25">
      <c r="A75"/>
      <c r="B75"/>
      <c r="C75"/>
      <c r="D75"/>
      <c r="E75"/>
      <c r="F75"/>
      <c r="G75" s="57"/>
      <c r="H75"/>
    </row>
    <row r="76" spans="1:8" ht="15" x14ac:dyDescent="0.25">
      <c r="A76"/>
      <c r="B76"/>
      <c r="C76"/>
      <c r="D76"/>
      <c r="E76"/>
      <c r="F76"/>
      <c r="G76" s="57"/>
      <c r="H76"/>
    </row>
    <row r="77" spans="1:8" ht="15" x14ac:dyDescent="0.25">
      <c r="A77"/>
      <c r="B77"/>
      <c r="C77"/>
      <c r="D77"/>
      <c r="E77"/>
      <c r="F77"/>
      <c r="G77" s="57"/>
      <c r="H77"/>
    </row>
    <row r="78" spans="1:8" ht="15" x14ac:dyDescent="0.25">
      <c r="A78"/>
      <c r="B78"/>
      <c r="C78"/>
      <c r="D78"/>
      <c r="E78"/>
      <c r="F78"/>
      <c r="G78" s="57"/>
      <c r="H78"/>
    </row>
    <row r="79" spans="1:8" ht="15" x14ac:dyDescent="0.25">
      <c r="A79"/>
      <c r="B79"/>
      <c r="C79"/>
      <c r="D79"/>
      <c r="E79"/>
      <c r="F79"/>
      <c r="G79" s="57"/>
      <c r="H79"/>
    </row>
    <row r="80" spans="1:8" ht="15" x14ac:dyDescent="0.25">
      <c r="A80"/>
      <c r="B80"/>
      <c r="C80"/>
      <c r="D80"/>
      <c r="E80"/>
      <c r="F80"/>
      <c r="G80" s="57"/>
      <c r="H80"/>
    </row>
    <row r="81" spans="1:8" ht="15" x14ac:dyDescent="0.25">
      <c r="A81"/>
      <c r="B81"/>
      <c r="C81"/>
      <c r="D81"/>
      <c r="E81"/>
      <c r="F81"/>
      <c r="G81" s="57"/>
      <c r="H81"/>
    </row>
    <row r="82" spans="1:8" ht="15" x14ac:dyDescent="0.25">
      <c r="A82"/>
      <c r="B82"/>
      <c r="C82"/>
      <c r="D82"/>
      <c r="E82"/>
      <c r="F82"/>
      <c r="G82" s="57"/>
      <c r="H82"/>
    </row>
    <row r="83" spans="1:8" ht="15" x14ac:dyDescent="0.25">
      <c r="A83"/>
      <c r="B83"/>
      <c r="C83"/>
      <c r="D83"/>
      <c r="E83"/>
      <c r="F83"/>
      <c r="G83" s="57"/>
      <c r="H83"/>
    </row>
    <row r="84" spans="1:8" ht="15" x14ac:dyDescent="0.25">
      <c r="A84"/>
      <c r="B84"/>
      <c r="C84"/>
      <c r="D84"/>
      <c r="E84"/>
      <c r="F84"/>
      <c r="G84" s="57"/>
      <c r="H84"/>
    </row>
    <row r="85" spans="1:8" ht="15" x14ac:dyDescent="0.25">
      <c r="A85"/>
      <c r="B85"/>
      <c r="C85"/>
      <c r="D85"/>
      <c r="E85"/>
      <c r="F85"/>
      <c r="G85" s="57"/>
      <c r="H85"/>
    </row>
    <row r="86" spans="1:8" ht="15" x14ac:dyDescent="0.25">
      <c r="A86"/>
      <c r="B86"/>
      <c r="C86"/>
      <c r="D86"/>
      <c r="E86"/>
      <c r="F86"/>
      <c r="G86" s="57"/>
      <c r="H86"/>
    </row>
    <row r="87" spans="1:8" ht="15" x14ac:dyDescent="0.25">
      <c r="A87"/>
      <c r="B87"/>
      <c r="C87"/>
      <c r="D87"/>
      <c r="E87"/>
      <c r="F87"/>
      <c r="G87" s="57"/>
      <c r="H87"/>
    </row>
    <row r="88" spans="1:8" ht="15" x14ac:dyDescent="0.25">
      <c r="A88"/>
      <c r="B88"/>
      <c r="C88"/>
      <c r="D88"/>
      <c r="E88"/>
      <c r="F88"/>
      <c r="G88" s="57"/>
      <c r="H88"/>
    </row>
    <row r="89" spans="1:8" ht="15" x14ac:dyDescent="0.25">
      <c r="A89"/>
      <c r="B89"/>
      <c r="C89"/>
      <c r="D89"/>
      <c r="E89"/>
      <c r="F89"/>
      <c r="G89" s="57"/>
      <c r="H89"/>
    </row>
    <row r="90" spans="1:8" ht="15" x14ac:dyDescent="0.25">
      <c r="A90"/>
      <c r="B90"/>
      <c r="C90"/>
      <c r="D90"/>
      <c r="E90"/>
      <c r="F90"/>
      <c r="G90" s="57"/>
      <c r="H90"/>
    </row>
    <row r="91" spans="1:8" ht="15" x14ac:dyDescent="0.25">
      <c r="A91"/>
      <c r="B91"/>
      <c r="C91"/>
      <c r="D91"/>
      <c r="E91"/>
      <c r="F91"/>
      <c r="G91" s="57"/>
      <c r="H91"/>
    </row>
    <row r="92" spans="1:8" ht="15" x14ac:dyDescent="0.25">
      <c r="A92"/>
      <c r="B92"/>
      <c r="C92"/>
      <c r="D92"/>
      <c r="E92"/>
      <c r="F92"/>
      <c r="G92" s="57"/>
      <c r="H92"/>
    </row>
    <row r="93" spans="1:8" ht="15" x14ac:dyDescent="0.25">
      <c r="A93"/>
      <c r="B93"/>
      <c r="C93"/>
      <c r="D93"/>
      <c r="E93"/>
      <c r="F93"/>
      <c r="G93" s="57"/>
      <c r="H93"/>
    </row>
    <row r="94" spans="1:8" ht="15" x14ac:dyDescent="0.25">
      <c r="A94"/>
      <c r="B94"/>
      <c r="C94"/>
      <c r="D94"/>
      <c r="E94"/>
      <c r="F94"/>
      <c r="G94" s="57"/>
      <c r="H94"/>
    </row>
    <row r="95" spans="1:8" ht="15" x14ac:dyDescent="0.25">
      <c r="A95"/>
      <c r="B95"/>
      <c r="C95"/>
      <c r="D95"/>
      <c r="E95"/>
      <c r="F95"/>
      <c r="G95" s="57"/>
      <c r="H95"/>
    </row>
    <row r="96" spans="1:8" ht="15" x14ac:dyDescent="0.25">
      <c r="A96"/>
      <c r="B96"/>
      <c r="C96"/>
      <c r="D96"/>
      <c r="E96"/>
      <c r="F96"/>
      <c r="G96" s="57"/>
      <c r="H96"/>
    </row>
    <row r="97" spans="1:8" ht="15" x14ac:dyDescent="0.25">
      <c r="A97"/>
      <c r="B97"/>
      <c r="C97"/>
      <c r="D97"/>
      <c r="E97"/>
      <c r="F97"/>
      <c r="G97" s="57"/>
      <c r="H97"/>
    </row>
    <row r="98" spans="1:8" ht="15" x14ac:dyDescent="0.25">
      <c r="A98"/>
      <c r="B98"/>
      <c r="C98"/>
      <c r="D98"/>
      <c r="E98"/>
      <c r="F98"/>
      <c r="G98" s="57"/>
      <c r="H98"/>
    </row>
    <row r="99" spans="1:8" ht="15" x14ac:dyDescent="0.25">
      <c r="A99"/>
      <c r="B99"/>
      <c r="C99"/>
      <c r="D99"/>
      <c r="E99"/>
      <c r="F99"/>
      <c r="G99" s="57"/>
      <c r="H99"/>
    </row>
    <row r="100" spans="1:8" ht="15" x14ac:dyDescent="0.25">
      <c r="A100"/>
      <c r="B100"/>
      <c r="C100"/>
      <c r="D100"/>
      <c r="E100"/>
      <c r="F100"/>
      <c r="G100" s="57"/>
      <c r="H100"/>
    </row>
    <row r="101" spans="1:8" ht="15" x14ac:dyDescent="0.25">
      <c r="A101"/>
      <c r="B101"/>
      <c r="C101"/>
      <c r="D101"/>
      <c r="E101"/>
      <c r="F101"/>
      <c r="G101" s="57"/>
      <c r="H101"/>
    </row>
    <row r="102" spans="1:8" ht="15" x14ac:dyDescent="0.25">
      <c r="A102"/>
      <c r="B102"/>
      <c r="C102"/>
      <c r="D102"/>
      <c r="E102"/>
      <c r="F102"/>
      <c r="G102" s="57"/>
      <c r="H102"/>
    </row>
    <row r="103" spans="1:8" ht="15" x14ac:dyDescent="0.25">
      <c r="A103"/>
      <c r="B103"/>
      <c r="C103"/>
      <c r="D103"/>
      <c r="E103"/>
      <c r="F103"/>
      <c r="G103" s="57"/>
      <c r="H103"/>
    </row>
    <row r="104" spans="1:8" ht="15" x14ac:dyDescent="0.25">
      <c r="A104"/>
      <c r="B104"/>
      <c r="C104"/>
      <c r="D104"/>
      <c r="E104"/>
      <c r="F104"/>
      <c r="G104" s="57"/>
      <c r="H104"/>
    </row>
    <row r="105" spans="1:8" ht="15" x14ac:dyDescent="0.25">
      <c r="A105"/>
      <c r="B105"/>
      <c r="C105"/>
      <c r="D105"/>
      <c r="E105"/>
      <c r="F105"/>
      <c r="G105" s="57"/>
      <c r="H105"/>
    </row>
    <row r="106" spans="1:8" ht="15" x14ac:dyDescent="0.25">
      <c r="A106"/>
      <c r="B106"/>
      <c r="C106"/>
      <c r="D106"/>
      <c r="E106"/>
      <c r="F106"/>
      <c r="G106" s="57"/>
      <c r="H106"/>
    </row>
    <row r="107" spans="1:8" ht="15" x14ac:dyDescent="0.25">
      <c r="A107"/>
      <c r="B107"/>
      <c r="C107"/>
      <c r="D107"/>
      <c r="E107"/>
      <c r="F107"/>
      <c r="G107" s="57"/>
      <c r="H107"/>
    </row>
    <row r="108" spans="1:8" ht="15" x14ac:dyDescent="0.25">
      <c r="A108"/>
      <c r="B108"/>
      <c r="C108"/>
      <c r="D108"/>
      <c r="E108"/>
      <c r="F108"/>
      <c r="G108" s="57"/>
      <c r="H108"/>
    </row>
    <row r="109" spans="1:8" ht="15" x14ac:dyDescent="0.25">
      <c r="A109"/>
      <c r="B109"/>
      <c r="C109"/>
      <c r="D109"/>
      <c r="E109"/>
      <c r="F109"/>
      <c r="G109" s="57"/>
      <c r="H109"/>
    </row>
    <row r="110" spans="1:8" ht="15" x14ac:dyDescent="0.25">
      <c r="A110"/>
      <c r="B110"/>
      <c r="C110"/>
      <c r="D110"/>
      <c r="E110"/>
      <c r="F110"/>
      <c r="G110" s="57"/>
      <c r="H110"/>
    </row>
    <row r="111" spans="1:8" ht="15" x14ac:dyDescent="0.25">
      <c r="A111"/>
      <c r="B111"/>
      <c r="C111"/>
      <c r="D111"/>
      <c r="E111"/>
      <c r="F111"/>
      <c r="G111" s="57"/>
      <c r="H111"/>
    </row>
    <row r="112" spans="1:8" ht="15" x14ac:dyDescent="0.25">
      <c r="A112"/>
      <c r="B112"/>
      <c r="C112"/>
      <c r="D112"/>
      <c r="E112"/>
      <c r="F112"/>
      <c r="G112" s="57"/>
      <c r="H112"/>
    </row>
    <row r="113" spans="1:8" ht="15" x14ac:dyDescent="0.25">
      <c r="A113"/>
      <c r="B113"/>
      <c r="C113"/>
      <c r="D113"/>
      <c r="E113"/>
      <c r="F113"/>
      <c r="G113" s="57"/>
      <c r="H113"/>
    </row>
    <row r="114" spans="1:8" ht="15" x14ac:dyDescent="0.25">
      <c r="A114"/>
      <c r="B114"/>
      <c r="C114"/>
      <c r="D114"/>
      <c r="E114"/>
      <c r="F114"/>
      <c r="G114" s="57"/>
      <c r="H114"/>
    </row>
    <row r="115" spans="1:8" ht="15" x14ac:dyDescent="0.25">
      <c r="A115"/>
      <c r="B115"/>
      <c r="C115"/>
      <c r="D115"/>
      <c r="E115"/>
      <c r="F115"/>
      <c r="G115" s="57"/>
      <c r="H115"/>
    </row>
    <row r="116" spans="1:8" ht="15" x14ac:dyDescent="0.25">
      <c r="A116"/>
      <c r="B116"/>
      <c r="C116"/>
      <c r="D116"/>
      <c r="E116"/>
      <c r="F116"/>
      <c r="G116" s="57"/>
      <c r="H116"/>
    </row>
    <row r="117" spans="1:8" ht="15" x14ac:dyDescent="0.25">
      <c r="A117"/>
      <c r="B117"/>
      <c r="C117"/>
      <c r="D117"/>
      <c r="E117"/>
      <c r="F117"/>
      <c r="G117" s="57"/>
      <c r="H117"/>
    </row>
    <row r="118" spans="1:8" ht="15" x14ac:dyDescent="0.25">
      <c r="A118"/>
      <c r="B118"/>
      <c r="C118"/>
      <c r="D118"/>
      <c r="E118"/>
      <c r="F118"/>
      <c r="G118" s="57"/>
      <c r="H118"/>
    </row>
    <row r="119" spans="1:8" ht="15" x14ac:dyDescent="0.25">
      <c r="A119"/>
      <c r="B119"/>
      <c r="C119"/>
      <c r="D119"/>
      <c r="E119"/>
      <c r="F119"/>
      <c r="G119" s="57"/>
      <c r="H119"/>
    </row>
    <row r="120" spans="1:8" ht="15" x14ac:dyDescent="0.25">
      <c r="A120"/>
      <c r="B120"/>
      <c r="C120"/>
      <c r="D120"/>
      <c r="E120"/>
      <c r="F120"/>
      <c r="G120" s="57"/>
      <c r="H120"/>
    </row>
    <row r="121" spans="1:8" ht="15" x14ac:dyDescent="0.25">
      <c r="A121"/>
      <c r="B121"/>
      <c r="C121"/>
      <c r="D121"/>
      <c r="E121"/>
      <c r="F121"/>
      <c r="G121" s="57"/>
      <c r="H121"/>
    </row>
    <row r="122" spans="1:8" ht="15" x14ac:dyDescent="0.25">
      <c r="A122"/>
      <c r="B122"/>
      <c r="C122"/>
      <c r="D122"/>
      <c r="E122"/>
      <c r="F122"/>
      <c r="G122" s="57"/>
      <c r="H122"/>
    </row>
    <row r="123" spans="1:8" ht="15" x14ac:dyDescent="0.25">
      <c r="A123"/>
      <c r="B123"/>
      <c r="C123"/>
      <c r="D123"/>
      <c r="E123"/>
      <c r="F123"/>
      <c r="G123" s="57"/>
      <c r="H123"/>
    </row>
    <row r="124" spans="1:8" ht="15" x14ac:dyDescent="0.25">
      <c r="A124"/>
      <c r="B124"/>
      <c r="C124"/>
      <c r="D124"/>
      <c r="E124"/>
      <c r="F124"/>
      <c r="G124" s="57"/>
      <c r="H124"/>
    </row>
    <row r="125" spans="1:8" ht="15" x14ac:dyDescent="0.25">
      <c r="A125"/>
      <c r="B125"/>
      <c r="C125"/>
      <c r="D125"/>
      <c r="E125"/>
      <c r="F125"/>
      <c r="G125" s="57"/>
      <c r="H125"/>
    </row>
    <row r="126" spans="1:8" ht="15" x14ac:dyDescent="0.25">
      <c r="A126"/>
      <c r="B126"/>
      <c r="C126"/>
      <c r="D126"/>
      <c r="E126"/>
      <c r="F126"/>
      <c r="G126" s="57"/>
      <c r="H126"/>
    </row>
    <row r="127" spans="1:8" ht="15" x14ac:dyDescent="0.25">
      <c r="A127"/>
      <c r="B127"/>
      <c r="C127"/>
      <c r="D127"/>
      <c r="E127"/>
      <c r="F127"/>
      <c r="G127" s="57"/>
      <c r="H127"/>
    </row>
    <row r="128" spans="1:8" ht="15" x14ac:dyDescent="0.25">
      <c r="A128"/>
      <c r="B128"/>
      <c r="C128"/>
      <c r="D128"/>
      <c r="E128"/>
      <c r="F128"/>
      <c r="G128" s="57"/>
      <c r="H128"/>
    </row>
    <row r="129" spans="1:8" ht="15" x14ac:dyDescent="0.25">
      <c r="A129"/>
      <c r="B129"/>
      <c r="C129"/>
      <c r="D129"/>
      <c r="E129"/>
      <c r="F129"/>
      <c r="G129" s="57"/>
      <c r="H129"/>
    </row>
    <row r="130" spans="1:8" ht="15" x14ac:dyDescent="0.25">
      <c r="A130"/>
      <c r="B130"/>
      <c r="C130"/>
      <c r="D130"/>
      <c r="E130"/>
      <c r="F130"/>
      <c r="G130" s="57"/>
      <c r="H130"/>
    </row>
    <row r="131" spans="1:8" ht="15" x14ac:dyDescent="0.25">
      <c r="A131"/>
      <c r="B131"/>
      <c r="C131"/>
      <c r="D131"/>
      <c r="E131"/>
      <c r="F131"/>
      <c r="G131" s="57"/>
      <c r="H131"/>
    </row>
    <row r="132" spans="1:8" ht="15" x14ac:dyDescent="0.25">
      <c r="A132"/>
      <c r="B132"/>
      <c r="C132"/>
      <c r="D132"/>
      <c r="E132"/>
      <c r="F132"/>
      <c r="G132" s="57"/>
      <c r="H132"/>
    </row>
    <row r="133" spans="1:8" ht="15" x14ac:dyDescent="0.25">
      <c r="A133"/>
      <c r="B133"/>
      <c r="C133"/>
      <c r="D133"/>
      <c r="E133"/>
      <c r="F133"/>
      <c r="G133" s="57"/>
      <c r="H133"/>
    </row>
    <row r="134" spans="1:8" ht="15" x14ac:dyDescent="0.25">
      <c r="A134"/>
      <c r="B134"/>
      <c r="C134"/>
      <c r="D134"/>
      <c r="E134"/>
      <c r="F134"/>
      <c r="G134" s="57"/>
      <c r="H134"/>
    </row>
    <row r="135" spans="1:8" ht="15" x14ac:dyDescent="0.25">
      <c r="A135"/>
      <c r="B135"/>
      <c r="C135"/>
      <c r="D135"/>
      <c r="E135"/>
      <c r="F135"/>
      <c r="G135" s="57"/>
      <c r="H135"/>
    </row>
    <row r="136" spans="1:8" ht="15" x14ac:dyDescent="0.25">
      <c r="A136"/>
      <c r="B136"/>
      <c r="C136"/>
      <c r="D136"/>
      <c r="E136"/>
      <c r="F136"/>
      <c r="G136" s="57"/>
      <c r="H136"/>
    </row>
    <row r="137" spans="1:8" ht="15" x14ac:dyDescent="0.25">
      <c r="A137"/>
      <c r="B137"/>
      <c r="C137"/>
      <c r="D137"/>
      <c r="E137"/>
      <c r="F137"/>
      <c r="G137" s="57"/>
      <c r="H137"/>
    </row>
    <row r="138" spans="1:8" ht="15" x14ac:dyDescent="0.25">
      <c r="A138"/>
      <c r="B138"/>
      <c r="C138"/>
      <c r="D138"/>
      <c r="E138"/>
      <c r="F138"/>
      <c r="G138" s="57"/>
      <c r="H138"/>
    </row>
    <row r="139" spans="1:8" ht="15" x14ac:dyDescent="0.25">
      <c r="A139"/>
      <c r="B139"/>
      <c r="C139"/>
      <c r="D139"/>
      <c r="E139"/>
      <c r="F139"/>
      <c r="G139" s="57"/>
      <c r="H139"/>
    </row>
    <row r="140" spans="1:8" ht="15" x14ac:dyDescent="0.25">
      <c r="A140"/>
      <c r="B140"/>
      <c r="C140"/>
      <c r="D140"/>
      <c r="E140"/>
      <c r="F140"/>
      <c r="G140" s="57"/>
      <c r="H140"/>
    </row>
    <row r="141" spans="1:8" ht="15" x14ac:dyDescent="0.25">
      <c r="A141"/>
      <c r="B141"/>
      <c r="C141"/>
      <c r="D141"/>
      <c r="E141"/>
      <c r="F141"/>
      <c r="G141" s="57"/>
      <c r="H141"/>
    </row>
    <row r="142" spans="1:8" ht="15" x14ac:dyDescent="0.25">
      <c r="A142"/>
      <c r="B142"/>
      <c r="C142"/>
      <c r="D142"/>
      <c r="E142"/>
      <c r="F142"/>
      <c r="G142" s="57"/>
      <c r="H142"/>
    </row>
    <row r="143" spans="1:8" ht="15" x14ac:dyDescent="0.25">
      <c r="A143"/>
      <c r="B143"/>
      <c r="C143"/>
      <c r="D143"/>
      <c r="E143"/>
      <c r="F143"/>
      <c r="G143" s="57"/>
      <c r="H143"/>
    </row>
    <row r="144" spans="1:8" ht="15" x14ac:dyDescent="0.25">
      <c r="A144"/>
      <c r="B144"/>
      <c r="C144"/>
      <c r="D144"/>
      <c r="E144"/>
      <c r="F144"/>
      <c r="G144" s="57"/>
      <c r="H144"/>
    </row>
    <row r="145" spans="1:8" ht="15" x14ac:dyDescent="0.25">
      <c r="A145"/>
      <c r="B145"/>
      <c r="C145"/>
      <c r="D145"/>
      <c r="E145"/>
      <c r="F145"/>
      <c r="G145" s="57"/>
      <c r="H145"/>
    </row>
    <row r="146" spans="1:8" ht="15" x14ac:dyDescent="0.25">
      <c r="A146"/>
      <c r="B146"/>
      <c r="C146"/>
      <c r="D146"/>
      <c r="E146"/>
      <c r="F146"/>
      <c r="G146" s="57"/>
      <c r="H146"/>
    </row>
    <row r="147" spans="1:8" ht="15" x14ac:dyDescent="0.25">
      <c r="A147"/>
      <c r="B147"/>
      <c r="C147"/>
      <c r="D147"/>
      <c r="E147"/>
      <c r="F147"/>
      <c r="G147" s="57"/>
      <c r="H147"/>
    </row>
    <row r="148" spans="1:8" ht="15" x14ac:dyDescent="0.25">
      <c r="A148"/>
      <c r="B148"/>
      <c r="C148"/>
      <c r="D148"/>
      <c r="E148"/>
      <c r="F148"/>
      <c r="G148" s="57"/>
      <c r="H148"/>
    </row>
    <row r="149" spans="1:8" ht="15" x14ac:dyDescent="0.25">
      <c r="A149"/>
      <c r="B149"/>
      <c r="C149"/>
      <c r="D149"/>
      <c r="E149"/>
      <c r="F149"/>
      <c r="G149" s="57"/>
      <c r="H149"/>
    </row>
    <row r="150" spans="1:8" ht="15" x14ac:dyDescent="0.25">
      <c r="A150"/>
      <c r="B150"/>
      <c r="C150"/>
      <c r="D150"/>
      <c r="E150"/>
      <c r="F150"/>
      <c r="G150" s="57"/>
      <c r="H150"/>
    </row>
    <row r="151" spans="1:8" ht="15" x14ac:dyDescent="0.25">
      <c r="A151"/>
      <c r="B151"/>
      <c r="C151"/>
      <c r="D151"/>
      <c r="E151"/>
      <c r="F151"/>
      <c r="G151" s="57"/>
      <c r="H151"/>
    </row>
    <row r="152" spans="1:8" ht="15" x14ac:dyDescent="0.25">
      <c r="A152"/>
      <c r="B152"/>
      <c r="C152"/>
      <c r="D152"/>
      <c r="E152"/>
      <c r="F152"/>
      <c r="G152" s="57"/>
      <c r="H152"/>
    </row>
    <row r="153" spans="1:8" ht="15" x14ac:dyDescent="0.25">
      <c r="A153"/>
      <c r="B153"/>
      <c r="C153"/>
      <c r="D153"/>
      <c r="E153"/>
      <c r="F153"/>
      <c r="G153" s="57"/>
      <c r="H153"/>
    </row>
    <row r="154" spans="1:8" ht="15" x14ac:dyDescent="0.25">
      <c r="A154"/>
      <c r="B154"/>
      <c r="C154"/>
      <c r="D154"/>
      <c r="E154"/>
      <c r="F154"/>
      <c r="G154" s="57"/>
      <c r="H154"/>
    </row>
    <row r="155" spans="1:8" ht="15" x14ac:dyDescent="0.25">
      <c r="A155"/>
      <c r="B155"/>
      <c r="C155"/>
      <c r="D155"/>
      <c r="E155"/>
      <c r="F155"/>
      <c r="G155" s="57"/>
      <c r="H155"/>
    </row>
    <row r="156" spans="1:8" ht="15" x14ac:dyDescent="0.25">
      <c r="A156"/>
      <c r="B156"/>
      <c r="C156"/>
      <c r="D156"/>
      <c r="E156"/>
      <c r="F156"/>
      <c r="G156" s="57"/>
      <c r="H156"/>
    </row>
    <row r="157" spans="1:8" ht="15" x14ac:dyDescent="0.25">
      <c r="A157"/>
      <c r="B157"/>
      <c r="C157"/>
      <c r="D157"/>
      <c r="E157"/>
      <c r="F157"/>
      <c r="G157" s="57"/>
      <c r="H157"/>
    </row>
    <row r="158" spans="1:8" ht="15" x14ac:dyDescent="0.25">
      <c r="A158"/>
      <c r="B158"/>
      <c r="C158"/>
      <c r="D158"/>
      <c r="E158"/>
      <c r="F158"/>
      <c r="G158" s="57"/>
      <c r="H158"/>
    </row>
    <row r="159" spans="1:8" ht="15" x14ac:dyDescent="0.25">
      <c r="A159"/>
      <c r="B159"/>
      <c r="C159"/>
      <c r="D159"/>
      <c r="E159"/>
      <c r="F159"/>
      <c r="G159" s="57"/>
      <c r="H159"/>
    </row>
    <row r="160" spans="1:8" ht="15" x14ac:dyDescent="0.25">
      <c r="A160"/>
      <c r="B160"/>
      <c r="C160"/>
      <c r="D160"/>
      <c r="E160"/>
      <c r="F160"/>
      <c r="G160" s="57"/>
      <c r="H160"/>
    </row>
    <row r="161" spans="1:8" ht="15" x14ac:dyDescent="0.25">
      <c r="A161"/>
      <c r="B161"/>
      <c r="C161"/>
      <c r="D161"/>
      <c r="E161"/>
      <c r="F161"/>
      <c r="G161" s="57"/>
      <c r="H161"/>
    </row>
    <row r="162" spans="1:8" ht="15" x14ac:dyDescent="0.25">
      <c r="A162"/>
      <c r="B162"/>
      <c r="C162"/>
      <c r="D162"/>
      <c r="E162"/>
      <c r="F162"/>
      <c r="G162" s="57"/>
      <c r="H162"/>
    </row>
    <row r="163" spans="1:8" ht="15" x14ac:dyDescent="0.25">
      <c r="A163"/>
      <c r="B163"/>
      <c r="C163"/>
      <c r="D163"/>
      <c r="E163"/>
      <c r="F163"/>
      <c r="G163" s="57"/>
      <c r="H163"/>
    </row>
    <row r="164" spans="1:8" ht="15" x14ac:dyDescent="0.25">
      <c r="A164"/>
      <c r="B164"/>
      <c r="C164"/>
      <c r="D164"/>
      <c r="E164"/>
      <c r="F164"/>
      <c r="G164" s="57"/>
      <c r="H164"/>
    </row>
    <row r="165" spans="1:8" ht="15" x14ac:dyDescent="0.25">
      <c r="A165"/>
      <c r="B165"/>
      <c r="C165"/>
      <c r="D165"/>
      <c r="E165"/>
      <c r="F165"/>
      <c r="G165" s="57"/>
      <c r="H165"/>
    </row>
    <row r="166" spans="1:8" ht="15" x14ac:dyDescent="0.25">
      <c r="A166"/>
      <c r="B166"/>
      <c r="C166"/>
      <c r="D166"/>
      <c r="E166"/>
      <c r="F166"/>
      <c r="G166" s="57"/>
      <c r="H166"/>
    </row>
    <row r="167" spans="1:8" ht="15" x14ac:dyDescent="0.25">
      <c r="A167"/>
      <c r="B167"/>
      <c r="C167"/>
      <c r="D167"/>
      <c r="E167"/>
      <c r="F167"/>
      <c r="G167" s="57"/>
      <c r="H167"/>
    </row>
    <row r="168" spans="1:8" ht="15" x14ac:dyDescent="0.25">
      <c r="A168"/>
      <c r="B168"/>
      <c r="C168"/>
      <c r="D168"/>
      <c r="E168"/>
      <c r="F168"/>
      <c r="G168" s="57"/>
      <c r="H168"/>
    </row>
    <row r="169" spans="1:8" ht="15" x14ac:dyDescent="0.25">
      <c r="A169"/>
      <c r="B169"/>
      <c r="C169"/>
      <c r="D169"/>
      <c r="E169"/>
      <c r="F169"/>
      <c r="G169" s="57"/>
      <c r="H169"/>
    </row>
    <row r="170" spans="1:8" ht="15" x14ac:dyDescent="0.25">
      <c r="A170"/>
      <c r="B170"/>
      <c r="C170"/>
      <c r="D170"/>
      <c r="E170"/>
      <c r="F170"/>
      <c r="G170" s="57"/>
      <c r="H170"/>
    </row>
    <row r="171" spans="1:8" ht="15" x14ac:dyDescent="0.25">
      <c r="A171"/>
      <c r="B171"/>
      <c r="C171"/>
      <c r="D171"/>
      <c r="E171"/>
      <c r="F171"/>
      <c r="G171" s="57"/>
      <c r="H171"/>
    </row>
    <row r="172" spans="1:8" ht="15" x14ac:dyDescent="0.25">
      <c r="A172"/>
      <c r="B172"/>
      <c r="C172"/>
      <c r="D172"/>
      <c r="E172"/>
      <c r="F172"/>
      <c r="G172" s="57"/>
      <c r="H172"/>
    </row>
    <row r="173" spans="1:8" ht="15" x14ac:dyDescent="0.25">
      <c r="A173"/>
      <c r="B173"/>
      <c r="C173"/>
      <c r="D173"/>
      <c r="E173"/>
      <c r="F173"/>
      <c r="G173" s="57"/>
      <c r="H173"/>
    </row>
    <row r="174" spans="1:8" ht="15" x14ac:dyDescent="0.25">
      <c r="A174"/>
      <c r="B174"/>
      <c r="C174"/>
      <c r="D174"/>
      <c r="E174"/>
      <c r="F174"/>
      <c r="G174" s="57"/>
      <c r="H174"/>
    </row>
    <row r="175" spans="1:8" ht="15" x14ac:dyDescent="0.25">
      <c r="A175"/>
      <c r="B175"/>
      <c r="C175"/>
      <c r="D175"/>
      <c r="E175"/>
      <c r="F175"/>
      <c r="G175" s="57"/>
      <c r="H175"/>
    </row>
    <row r="176" spans="1:8" ht="15" x14ac:dyDescent="0.25">
      <c r="A176"/>
      <c r="B176"/>
      <c r="C176"/>
      <c r="D176"/>
      <c r="E176"/>
      <c r="F176"/>
      <c r="G176" s="57"/>
      <c r="H176"/>
    </row>
    <row r="177" spans="1:8" ht="15" x14ac:dyDescent="0.25">
      <c r="A177"/>
      <c r="B177"/>
      <c r="C177"/>
      <c r="D177"/>
      <c r="E177"/>
      <c r="F177"/>
      <c r="G177" s="57"/>
      <c r="H177"/>
    </row>
    <row r="178" spans="1:8" ht="15" x14ac:dyDescent="0.25">
      <c r="A178"/>
      <c r="B178"/>
      <c r="C178"/>
      <c r="D178"/>
      <c r="E178"/>
      <c r="F178"/>
      <c r="G178" s="57"/>
      <c r="H178"/>
    </row>
    <row r="179" spans="1:8" ht="15" x14ac:dyDescent="0.25">
      <c r="A179"/>
      <c r="B179"/>
      <c r="C179"/>
      <c r="D179"/>
      <c r="E179"/>
      <c r="F179"/>
      <c r="G179" s="57"/>
      <c r="H179"/>
    </row>
    <row r="180" spans="1:8" ht="15" x14ac:dyDescent="0.25">
      <c r="A180"/>
      <c r="B180"/>
      <c r="C180"/>
      <c r="D180"/>
      <c r="E180"/>
      <c r="F180"/>
      <c r="G180" s="57"/>
      <c r="H180"/>
    </row>
    <row r="181" spans="1:8" ht="15" x14ac:dyDescent="0.25">
      <c r="A181"/>
      <c r="B181"/>
      <c r="C181"/>
      <c r="D181"/>
      <c r="E181"/>
      <c r="F181"/>
      <c r="G181" s="57"/>
      <c r="H181"/>
    </row>
    <row r="182" spans="1:8" ht="15" x14ac:dyDescent="0.25">
      <c r="A182"/>
      <c r="B182"/>
      <c r="C182"/>
      <c r="D182"/>
      <c r="E182"/>
      <c r="F182"/>
      <c r="G182" s="57"/>
      <c r="H182"/>
    </row>
    <row r="183" spans="1:8" ht="15" x14ac:dyDescent="0.25">
      <c r="A183"/>
      <c r="B183"/>
      <c r="C183"/>
      <c r="D183"/>
      <c r="E183"/>
      <c r="F183"/>
      <c r="G183" s="57"/>
      <c r="H183"/>
    </row>
    <row r="184" spans="1:8" ht="15" x14ac:dyDescent="0.25">
      <c r="A184"/>
      <c r="B184"/>
      <c r="C184"/>
      <c r="D184"/>
      <c r="E184"/>
      <c r="F184"/>
      <c r="G184" s="57"/>
      <c r="H184"/>
    </row>
    <row r="185" spans="1:8" ht="15" x14ac:dyDescent="0.25">
      <c r="A185"/>
      <c r="B185"/>
      <c r="C185"/>
      <c r="D185"/>
      <c r="E185"/>
      <c r="F185"/>
      <c r="G185" s="57"/>
      <c r="H185"/>
    </row>
    <row r="186" spans="1:8" ht="15" x14ac:dyDescent="0.25">
      <c r="A186"/>
      <c r="B186"/>
      <c r="C186"/>
      <c r="D186"/>
      <c r="E186"/>
      <c r="F186"/>
      <c r="G186" s="57"/>
      <c r="H186"/>
    </row>
    <row r="187" spans="1:8" ht="15" x14ac:dyDescent="0.25">
      <c r="A187"/>
      <c r="B187"/>
      <c r="C187"/>
      <c r="D187"/>
      <c r="E187"/>
      <c r="F187"/>
      <c r="G187" s="57"/>
      <c r="H187"/>
    </row>
    <row r="188" spans="1:8" ht="15" x14ac:dyDescent="0.25">
      <c r="A188"/>
      <c r="B188"/>
      <c r="C188"/>
      <c r="D188"/>
      <c r="E188"/>
      <c r="F188"/>
      <c r="G188" s="57"/>
      <c r="H188"/>
    </row>
    <row r="189" spans="1:8" ht="15" x14ac:dyDescent="0.25">
      <c r="A189"/>
      <c r="B189"/>
      <c r="C189"/>
      <c r="D189"/>
      <c r="E189"/>
      <c r="F189"/>
      <c r="G189" s="57"/>
      <c r="H189"/>
    </row>
    <row r="190" spans="1:8" ht="15" x14ac:dyDescent="0.25">
      <c r="A190"/>
      <c r="B190"/>
      <c r="C190"/>
      <c r="D190"/>
      <c r="E190"/>
      <c r="F190"/>
      <c r="G190" s="57"/>
      <c r="H190"/>
    </row>
    <row r="191" spans="1:8" ht="15" x14ac:dyDescent="0.25">
      <c r="A191"/>
      <c r="B191"/>
      <c r="C191"/>
      <c r="D191"/>
      <c r="E191"/>
      <c r="F191"/>
      <c r="G191" s="57"/>
      <c r="H191"/>
    </row>
    <row r="192" spans="1:8" ht="15" x14ac:dyDescent="0.25">
      <c r="A192"/>
      <c r="B192"/>
      <c r="C192"/>
      <c r="D192"/>
      <c r="E192"/>
      <c r="F192"/>
      <c r="G192" s="57"/>
      <c r="H192"/>
    </row>
    <row r="193" spans="1:8" ht="15" x14ac:dyDescent="0.25">
      <c r="A193"/>
      <c r="B193"/>
      <c r="C193"/>
      <c r="D193"/>
      <c r="E193"/>
      <c r="F193"/>
      <c r="G193" s="57"/>
      <c r="H193"/>
    </row>
    <row r="194" spans="1:8" ht="15" x14ac:dyDescent="0.25">
      <c r="A194"/>
      <c r="B194"/>
      <c r="C194"/>
      <c r="D194"/>
      <c r="E194"/>
      <c r="F194"/>
      <c r="G194" s="57"/>
      <c r="H194"/>
    </row>
    <row r="195" spans="1:8" ht="15" x14ac:dyDescent="0.25">
      <c r="A195"/>
      <c r="B195"/>
      <c r="C195"/>
      <c r="D195"/>
      <c r="E195"/>
      <c r="F195"/>
      <c r="G195" s="57"/>
      <c r="H195"/>
    </row>
    <row r="196" spans="1:8" ht="15" x14ac:dyDescent="0.25">
      <c r="A196"/>
      <c r="B196"/>
      <c r="C196"/>
      <c r="D196"/>
      <c r="E196"/>
      <c r="F196"/>
      <c r="G196" s="57"/>
      <c r="H196"/>
    </row>
    <row r="197" spans="1:8" ht="15" x14ac:dyDescent="0.25">
      <c r="A197"/>
      <c r="B197"/>
      <c r="C197"/>
      <c r="D197"/>
      <c r="E197"/>
      <c r="F197"/>
      <c r="G197" s="57"/>
      <c r="H197"/>
    </row>
    <row r="198" spans="1:8" ht="15" x14ac:dyDescent="0.25">
      <c r="A198"/>
      <c r="B198"/>
      <c r="C198"/>
      <c r="D198"/>
      <c r="E198"/>
      <c r="F198"/>
      <c r="G198" s="57"/>
      <c r="H198"/>
    </row>
    <row r="199" spans="1:8" ht="15" x14ac:dyDescent="0.25">
      <c r="A199"/>
      <c r="B199"/>
      <c r="C199"/>
      <c r="D199"/>
      <c r="E199"/>
      <c r="F199"/>
      <c r="G199" s="57"/>
      <c r="H199"/>
    </row>
    <row r="200" spans="1:8" ht="15" x14ac:dyDescent="0.25">
      <c r="A200"/>
      <c r="B200"/>
      <c r="C200"/>
      <c r="D200"/>
      <c r="E200"/>
      <c r="F200"/>
      <c r="G200" s="57"/>
      <c r="H200"/>
    </row>
    <row r="201" spans="1:8" ht="15" x14ac:dyDescent="0.25">
      <c r="A201"/>
      <c r="B201"/>
      <c r="C201"/>
      <c r="D201"/>
      <c r="E201"/>
      <c r="F201"/>
      <c r="G201" s="57"/>
      <c r="H201"/>
    </row>
    <row r="202" spans="1:8" ht="15" x14ac:dyDescent="0.25">
      <c r="A202"/>
      <c r="B202"/>
      <c r="C202"/>
      <c r="D202"/>
      <c r="E202"/>
      <c r="F202"/>
      <c r="G202" s="57"/>
      <c r="H202"/>
    </row>
    <row r="203" spans="1:8" ht="15" x14ac:dyDescent="0.25">
      <c r="A203"/>
      <c r="B203"/>
      <c r="C203"/>
      <c r="D203"/>
      <c r="E203"/>
      <c r="F203"/>
      <c r="G203" s="57"/>
      <c r="H203"/>
    </row>
    <row r="204" spans="1:8" ht="15" x14ac:dyDescent="0.25">
      <c r="A204"/>
      <c r="B204"/>
      <c r="C204"/>
      <c r="D204"/>
      <c r="E204"/>
      <c r="F204"/>
      <c r="G204" s="57"/>
      <c r="H204"/>
    </row>
    <row r="205" spans="1:8" ht="15" x14ac:dyDescent="0.25">
      <c r="A205"/>
      <c r="B205"/>
      <c r="C205"/>
      <c r="D205"/>
      <c r="E205"/>
      <c r="F205"/>
      <c r="G205" s="57"/>
      <c r="H205"/>
    </row>
    <row r="206" spans="1:8" ht="15" x14ac:dyDescent="0.25">
      <c r="A206"/>
      <c r="B206"/>
      <c r="C206"/>
      <c r="D206"/>
      <c r="E206"/>
      <c r="F206"/>
      <c r="G206" s="57"/>
      <c r="H206"/>
    </row>
    <row r="207" spans="1:8" ht="15" x14ac:dyDescent="0.25">
      <c r="A207"/>
      <c r="B207"/>
      <c r="C207"/>
      <c r="D207"/>
      <c r="E207"/>
      <c r="F207"/>
      <c r="G207" s="57"/>
      <c r="H207"/>
    </row>
    <row r="208" spans="1:8" ht="15" x14ac:dyDescent="0.25">
      <c r="A208"/>
      <c r="B208"/>
      <c r="C208"/>
      <c r="D208"/>
      <c r="E208"/>
      <c r="F208"/>
      <c r="G208" s="57"/>
      <c r="H208"/>
    </row>
    <row r="209" spans="1:8" ht="15" x14ac:dyDescent="0.25">
      <c r="A209"/>
      <c r="B209"/>
      <c r="C209"/>
      <c r="D209"/>
      <c r="E209"/>
      <c r="F209"/>
      <c r="G209" s="57"/>
      <c r="H209"/>
    </row>
    <row r="210" spans="1:8" ht="15" x14ac:dyDescent="0.25">
      <c r="A210"/>
      <c r="B210"/>
      <c r="C210"/>
      <c r="D210"/>
      <c r="E210"/>
      <c r="F210"/>
      <c r="G210" s="57"/>
      <c r="H210"/>
    </row>
    <row r="211" spans="1:8" ht="15" x14ac:dyDescent="0.25">
      <c r="A211"/>
      <c r="B211"/>
      <c r="C211"/>
      <c r="D211"/>
      <c r="E211"/>
      <c r="F211"/>
      <c r="G211" s="57"/>
      <c r="H211"/>
    </row>
    <row r="212" spans="1:8" ht="15" x14ac:dyDescent="0.25">
      <c r="A212"/>
      <c r="B212"/>
      <c r="C212"/>
      <c r="D212"/>
      <c r="E212"/>
      <c r="F212"/>
      <c r="G212" s="57"/>
      <c r="H212"/>
    </row>
    <row r="213" spans="1:8" ht="15" x14ac:dyDescent="0.25">
      <c r="A213"/>
      <c r="B213"/>
      <c r="C213"/>
      <c r="D213"/>
      <c r="E213"/>
      <c r="F213"/>
      <c r="G213" s="57"/>
      <c r="H213"/>
    </row>
    <row r="214" spans="1:8" ht="15" x14ac:dyDescent="0.25">
      <c r="A214"/>
      <c r="B214"/>
      <c r="C214"/>
      <c r="D214"/>
      <c r="E214"/>
      <c r="F214"/>
      <c r="G214" s="57"/>
      <c r="H214"/>
    </row>
    <row r="215" spans="1:8" ht="15" x14ac:dyDescent="0.25">
      <c r="A215"/>
      <c r="B215"/>
      <c r="C215"/>
      <c r="D215"/>
      <c r="E215"/>
      <c r="F215"/>
      <c r="G215" s="57"/>
      <c r="H215"/>
    </row>
    <row r="216" spans="1:8" ht="15" x14ac:dyDescent="0.25">
      <c r="A216"/>
      <c r="B216"/>
      <c r="C216"/>
      <c r="D216"/>
      <c r="E216"/>
      <c r="F216"/>
      <c r="G216" s="57"/>
      <c r="H216"/>
    </row>
    <row r="217" spans="1:8" ht="15" x14ac:dyDescent="0.25">
      <c r="A217"/>
      <c r="B217"/>
      <c r="C217"/>
      <c r="D217"/>
      <c r="E217"/>
      <c r="F217"/>
      <c r="G217" s="57"/>
      <c r="H217"/>
    </row>
    <row r="218" spans="1:8" ht="15" x14ac:dyDescent="0.25">
      <c r="A218"/>
      <c r="B218"/>
      <c r="C218"/>
      <c r="D218"/>
      <c r="E218"/>
      <c r="F218"/>
      <c r="G218" s="57"/>
      <c r="H218"/>
    </row>
    <row r="219" spans="1:8" ht="15" x14ac:dyDescent="0.25">
      <c r="A219"/>
      <c r="B219"/>
      <c r="C219"/>
      <c r="D219"/>
      <c r="E219"/>
      <c r="F219"/>
      <c r="G219" s="57"/>
      <c r="H219"/>
    </row>
    <row r="220" spans="1:8" ht="15" x14ac:dyDescent="0.25">
      <c r="A220"/>
      <c r="B220"/>
      <c r="C220"/>
      <c r="D220"/>
      <c r="E220"/>
      <c r="F220"/>
      <c r="G220" s="57"/>
      <c r="H220"/>
    </row>
    <row r="221" spans="1:8" ht="15" x14ac:dyDescent="0.25">
      <c r="A221"/>
      <c r="B221"/>
      <c r="C221"/>
      <c r="D221"/>
      <c r="E221"/>
      <c r="F221"/>
      <c r="G221" s="57"/>
      <c r="H221"/>
    </row>
    <row r="222" spans="1:8" ht="15" x14ac:dyDescent="0.25">
      <c r="A222"/>
      <c r="B222"/>
      <c r="C222"/>
      <c r="D222"/>
      <c r="E222"/>
      <c r="F222"/>
      <c r="G222" s="57"/>
      <c r="H222"/>
    </row>
    <row r="223" spans="1:8" ht="15" x14ac:dyDescent="0.25">
      <c r="A223"/>
      <c r="B223"/>
      <c r="C223"/>
      <c r="D223"/>
      <c r="E223"/>
      <c r="F223"/>
      <c r="G223" s="57"/>
      <c r="H223"/>
    </row>
    <row r="224" spans="1:8" ht="15" x14ac:dyDescent="0.25">
      <c r="A224"/>
      <c r="B224"/>
      <c r="C224"/>
      <c r="D224"/>
      <c r="E224"/>
      <c r="F224"/>
      <c r="G224" s="57"/>
      <c r="H224"/>
    </row>
    <row r="225" spans="1:8" ht="15" x14ac:dyDescent="0.25">
      <c r="A225"/>
      <c r="B225"/>
      <c r="C225"/>
      <c r="D225"/>
      <c r="E225"/>
      <c r="F225"/>
      <c r="G225" s="57"/>
      <c r="H225"/>
    </row>
    <row r="226" spans="1:8" ht="15" x14ac:dyDescent="0.25">
      <c r="A226"/>
      <c r="B226"/>
      <c r="C226"/>
      <c r="D226"/>
      <c r="E226"/>
      <c r="F226"/>
      <c r="G226" s="57"/>
      <c r="H226"/>
    </row>
    <row r="227" spans="1:8" ht="15" x14ac:dyDescent="0.25">
      <c r="A227"/>
      <c r="B227"/>
      <c r="C227"/>
      <c r="D227"/>
      <c r="E227"/>
      <c r="F227"/>
      <c r="G227" s="57"/>
      <c r="H227"/>
    </row>
    <row r="228" spans="1:8" ht="15" x14ac:dyDescent="0.25">
      <c r="A228"/>
      <c r="B228"/>
      <c r="C228"/>
      <c r="D228"/>
      <c r="E228"/>
      <c r="F228"/>
      <c r="G228" s="57"/>
      <c r="H228"/>
    </row>
    <row r="229" spans="1:8" ht="15" x14ac:dyDescent="0.25">
      <c r="A229"/>
      <c r="B229"/>
      <c r="C229"/>
      <c r="D229"/>
      <c r="E229"/>
      <c r="F229"/>
      <c r="G229" s="57"/>
      <c r="H229"/>
    </row>
    <row r="230" spans="1:8" ht="15" x14ac:dyDescent="0.25">
      <c r="A230"/>
      <c r="B230"/>
      <c r="C230"/>
      <c r="D230"/>
      <c r="E230"/>
      <c r="F230"/>
      <c r="G230" s="57"/>
      <c r="H230"/>
    </row>
    <row r="231" spans="1:8" ht="15" x14ac:dyDescent="0.25">
      <c r="A231"/>
      <c r="B231"/>
      <c r="C231"/>
      <c r="D231"/>
      <c r="E231"/>
      <c r="F231"/>
      <c r="G231" s="57"/>
      <c r="H231"/>
    </row>
    <row r="232" spans="1:8" ht="15" x14ac:dyDescent="0.25">
      <c r="A232"/>
      <c r="B232"/>
      <c r="C232"/>
      <c r="D232"/>
      <c r="E232"/>
      <c r="F232"/>
      <c r="G232" s="57"/>
      <c r="H232"/>
    </row>
    <row r="233" spans="1:8" ht="15" x14ac:dyDescent="0.25">
      <c r="A233"/>
      <c r="B233"/>
      <c r="C233"/>
      <c r="D233"/>
      <c r="E233"/>
      <c r="F233"/>
      <c r="G233" s="57"/>
      <c r="H233"/>
    </row>
    <row r="234" spans="1:8" ht="15" x14ac:dyDescent="0.25">
      <c r="A234"/>
      <c r="B234"/>
      <c r="C234"/>
      <c r="D234"/>
      <c r="E234"/>
      <c r="F234"/>
      <c r="G234" s="57"/>
      <c r="H234"/>
    </row>
    <row r="235" spans="1:8" ht="15" x14ac:dyDescent="0.25">
      <c r="A235"/>
      <c r="B235"/>
      <c r="C235"/>
      <c r="D235"/>
      <c r="E235"/>
      <c r="F235"/>
      <c r="G235" s="57"/>
      <c r="H235"/>
    </row>
    <row r="236" spans="1:8" ht="15" x14ac:dyDescent="0.25">
      <c r="A236"/>
      <c r="B236"/>
      <c r="C236"/>
      <c r="D236"/>
      <c r="E236"/>
      <c r="F236"/>
      <c r="G236" s="57"/>
      <c r="H236"/>
    </row>
    <row r="237" spans="1:8" ht="15" x14ac:dyDescent="0.25">
      <c r="A237"/>
      <c r="B237"/>
      <c r="C237"/>
      <c r="D237"/>
      <c r="E237"/>
      <c r="F237"/>
      <c r="G237" s="57"/>
      <c r="H237"/>
    </row>
    <row r="238" spans="1:8" ht="15" x14ac:dyDescent="0.25">
      <c r="A238"/>
      <c r="B238"/>
      <c r="C238"/>
      <c r="D238"/>
      <c r="E238"/>
      <c r="F238"/>
      <c r="G238" s="57"/>
      <c r="H238"/>
    </row>
    <row r="239" spans="1:8" ht="15" x14ac:dyDescent="0.25">
      <c r="A239"/>
      <c r="B239"/>
      <c r="C239"/>
      <c r="D239"/>
      <c r="E239"/>
      <c r="F239"/>
      <c r="G239" s="57"/>
      <c r="H239"/>
    </row>
    <row r="240" spans="1:8" ht="15" x14ac:dyDescent="0.25">
      <c r="A240"/>
      <c r="B240"/>
      <c r="C240"/>
      <c r="D240"/>
      <c r="E240"/>
      <c r="F240"/>
      <c r="G240" s="57"/>
      <c r="H240"/>
    </row>
    <row r="241" spans="1:8" ht="15" x14ac:dyDescent="0.25">
      <c r="A241"/>
      <c r="B241"/>
      <c r="C241"/>
      <c r="D241"/>
      <c r="E241"/>
      <c r="F241"/>
      <c r="G241" s="57"/>
      <c r="H241"/>
    </row>
    <row r="242" spans="1:8" ht="15" x14ac:dyDescent="0.25">
      <c r="A242"/>
      <c r="B242"/>
      <c r="C242"/>
      <c r="D242"/>
      <c r="E242"/>
      <c r="F242"/>
      <c r="G242" s="57"/>
      <c r="H242"/>
    </row>
    <row r="243" spans="1:8" ht="15" x14ac:dyDescent="0.25">
      <c r="A243"/>
      <c r="B243"/>
      <c r="C243"/>
      <c r="D243"/>
      <c r="E243"/>
      <c r="F243"/>
      <c r="G243" s="57"/>
      <c r="H243"/>
    </row>
    <row r="244" spans="1:8" ht="15" x14ac:dyDescent="0.25">
      <c r="A244"/>
      <c r="B244"/>
      <c r="C244"/>
      <c r="D244"/>
      <c r="E244"/>
      <c r="F244"/>
      <c r="G244" s="57"/>
      <c r="H244"/>
    </row>
    <row r="245" spans="1:8" ht="15" x14ac:dyDescent="0.25">
      <c r="A245"/>
      <c r="B245"/>
      <c r="C245"/>
      <c r="D245"/>
      <c r="E245"/>
      <c r="F245"/>
      <c r="G245" s="57"/>
      <c r="H245"/>
    </row>
    <row r="246" spans="1:8" ht="15" x14ac:dyDescent="0.25">
      <c r="A246"/>
      <c r="B246"/>
      <c r="C246"/>
      <c r="D246"/>
      <c r="E246"/>
      <c r="F246"/>
      <c r="G246" s="57"/>
      <c r="H246"/>
    </row>
    <row r="247" spans="1:8" ht="15" x14ac:dyDescent="0.25">
      <c r="A247"/>
      <c r="B247"/>
      <c r="C247"/>
      <c r="D247"/>
      <c r="E247"/>
      <c r="F247"/>
      <c r="G247" s="57"/>
      <c r="H247"/>
    </row>
    <row r="248" spans="1:8" ht="15" x14ac:dyDescent="0.25">
      <c r="A248"/>
      <c r="B248"/>
      <c r="C248"/>
      <c r="D248"/>
      <c r="E248"/>
      <c r="F248"/>
      <c r="G248" s="57"/>
      <c r="H248"/>
    </row>
    <row r="249" spans="1:8" ht="15" x14ac:dyDescent="0.25">
      <c r="A249"/>
      <c r="B249"/>
      <c r="C249"/>
      <c r="D249"/>
      <c r="E249"/>
      <c r="F249"/>
      <c r="G249" s="57"/>
      <c r="H249"/>
    </row>
    <row r="250" spans="1:8" ht="15" x14ac:dyDescent="0.25">
      <c r="A250"/>
      <c r="B250"/>
      <c r="C250"/>
      <c r="D250"/>
      <c r="E250"/>
      <c r="F250"/>
      <c r="G250" s="57"/>
      <c r="H250"/>
    </row>
    <row r="251" spans="1:8" ht="15" x14ac:dyDescent="0.25">
      <c r="A251"/>
      <c r="B251"/>
      <c r="C251"/>
      <c r="D251"/>
      <c r="E251"/>
      <c r="F251"/>
      <c r="G251" s="57"/>
      <c r="H251"/>
    </row>
    <row r="252" spans="1:8" ht="15" x14ac:dyDescent="0.25">
      <c r="A252"/>
      <c r="B252"/>
      <c r="C252"/>
      <c r="D252"/>
      <c r="E252"/>
      <c r="F252"/>
      <c r="G252" s="57"/>
      <c r="H252"/>
    </row>
    <row r="253" spans="1:8" ht="15" x14ac:dyDescent="0.25">
      <c r="A253"/>
      <c r="B253"/>
      <c r="C253"/>
      <c r="D253"/>
      <c r="E253"/>
      <c r="F253"/>
      <c r="G253" s="57"/>
      <c r="H253"/>
    </row>
    <row r="254" spans="1:8" ht="15" x14ac:dyDescent="0.25">
      <c r="A254"/>
      <c r="B254"/>
      <c r="C254"/>
      <c r="D254"/>
      <c r="E254"/>
      <c r="F254"/>
      <c r="G254" s="57"/>
      <c r="H254"/>
    </row>
    <row r="255" spans="1:8" ht="15" x14ac:dyDescent="0.25">
      <c r="A255"/>
      <c r="B255"/>
      <c r="C255"/>
      <c r="D255"/>
      <c r="E255"/>
      <c r="F255"/>
      <c r="G255" s="57"/>
      <c r="H255"/>
    </row>
    <row r="256" spans="1:8" ht="15" x14ac:dyDescent="0.25">
      <c r="A256"/>
      <c r="B256"/>
      <c r="C256"/>
      <c r="D256"/>
      <c r="E256"/>
      <c r="F256"/>
      <c r="G256" s="57"/>
      <c r="H256"/>
    </row>
    <row r="257" spans="1:8" ht="15" x14ac:dyDescent="0.25">
      <c r="A257"/>
      <c r="B257"/>
      <c r="C257"/>
      <c r="D257"/>
      <c r="E257"/>
      <c r="F257"/>
      <c r="G257" s="57"/>
      <c r="H257"/>
    </row>
    <row r="258" spans="1:8" ht="15" x14ac:dyDescent="0.25">
      <c r="A258"/>
      <c r="B258"/>
      <c r="C258"/>
      <c r="D258"/>
      <c r="E258"/>
      <c r="F258"/>
      <c r="G258" s="57"/>
      <c r="H258"/>
    </row>
    <row r="259" spans="1:8" ht="15" x14ac:dyDescent="0.25">
      <c r="A259"/>
      <c r="B259"/>
      <c r="C259"/>
      <c r="D259"/>
      <c r="E259"/>
      <c r="F259"/>
      <c r="G259" s="57"/>
      <c r="H259"/>
    </row>
    <row r="260" spans="1:8" ht="15" x14ac:dyDescent="0.25">
      <c r="A260"/>
      <c r="B260"/>
      <c r="C260"/>
      <c r="D260"/>
      <c r="E260"/>
      <c r="F260"/>
      <c r="G260" s="57"/>
      <c r="H260"/>
    </row>
    <row r="261" spans="1:8" ht="15" x14ac:dyDescent="0.25">
      <c r="A261"/>
      <c r="B261"/>
      <c r="C261"/>
      <c r="D261"/>
      <c r="E261"/>
      <c r="F261"/>
      <c r="G261" s="57"/>
      <c r="H261"/>
    </row>
    <row r="262" spans="1:8" ht="15" x14ac:dyDescent="0.25">
      <c r="A262"/>
      <c r="B262"/>
      <c r="C262"/>
      <c r="D262"/>
      <c r="E262"/>
      <c r="F262"/>
      <c r="G262" s="57"/>
      <c r="H262"/>
    </row>
    <row r="263" spans="1:8" ht="15" x14ac:dyDescent="0.25">
      <c r="A263"/>
      <c r="B263"/>
      <c r="C263"/>
      <c r="D263"/>
      <c r="E263"/>
      <c r="F263"/>
      <c r="G263" s="57"/>
      <c r="H263"/>
    </row>
    <row r="264" spans="1:8" ht="15" x14ac:dyDescent="0.25">
      <c r="A264"/>
      <c r="B264"/>
      <c r="C264"/>
      <c r="D264"/>
      <c r="E264"/>
      <c r="F264"/>
      <c r="G264" s="57"/>
      <c r="H264"/>
    </row>
    <row r="265" spans="1:8" ht="15" x14ac:dyDescent="0.25">
      <c r="A265"/>
      <c r="B265"/>
      <c r="C265"/>
      <c r="D265"/>
      <c r="E265"/>
      <c r="F265"/>
      <c r="G265" s="57"/>
      <c r="H265"/>
    </row>
    <row r="266" spans="1:8" ht="15" x14ac:dyDescent="0.25">
      <c r="A266"/>
      <c r="B266"/>
      <c r="C266"/>
      <c r="D266"/>
      <c r="E266"/>
      <c r="F266"/>
      <c r="G266" s="57"/>
      <c r="H266"/>
    </row>
    <row r="267" spans="1:8" ht="15" x14ac:dyDescent="0.25">
      <c r="A267"/>
      <c r="B267"/>
      <c r="C267"/>
      <c r="D267"/>
      <c r="E267"/>
      <c r="F267"/>
      <c r="G267" s="57"/>
      <c r="H267"/>
    </row>
    <row r="268" spans="1:8" ht="15" x14ac:dyDescent="0.25">
      <c r="A268"/>
      <c r="B268"/>
      <c r="C268"/>
      <c r="D268"/>
      <c r="E268"/>
      <c r="F268"/>
      <c r="G268" s="57"/>
      <c r="H268"/>
    </row>
  </sheetData>
  <pageMargins left="0.7" right="0.7" top="0.75" bottom="0.75" header="0.3" footer="0.3"/>
  <pageSetup scale="78" orientation="landscape" r:id="rId1"/>
  <colBreaks count="1" manualBreakCount="1">
    <brk id="7" min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1"/>
  <sheetViews>
    <sheetView workbookViewId="0"/>
  </sheetViews>
  <sheetFormatPr defaultColWidth="9.140625" defaultRowHeight="15.75" x14ac:dyDescent="0.25"/>
  <cols>
    <col min="1" max="1" width="51.85546875" style="646" customWidth="1"/>
    <col min="2" max="2" width="20.7109375" style="646" customWidth="1"/>
    <col min="3" max="3" width="22.7109375" style="646" customWidth="1"/>
    <col min="4" max="4" width="19.140625" style="646" customWidth="1"/>
    <col min="5" max="5" width="15" style="646" bestFit="1" customWidth="1"/>
    <col min="6" max="9" width="9.140625" style="646"/>
    <col min="10" max="10" width="4" style="646" bestFit="1" customWidth="1"/>
    <col min="11" max="11" width="35.140625" style="646" bestFit="1" customWidth="1"/>
    <col min="12" max="12" width="14.28515625" style="646" bestFit="1" customWidth="1"/>
    <col min="13" max="16384" width="9.140625" style="646"/>
  </cols>
  <sheetData>
    <row r="1" spans="1:6" x14ac:dyDescent="0.25">
      <c r="A1" s="648" t="s">
        <v>553</v>
      </c>
      <c r="B1" s="649"/>
      <c r="C1" s="649"/>
      <c r="D1" s="649"/>
      <c r="E1" s="650" t="s">
        <v>554</v>
      </c>
    </row>
    <row r="2" spans="1:6" x14ac:dyDescent="0.25">
      <c r="A2" s="649" t="s">
        <v>450</v>
      </c>
      <c r="B2" s="649"/>
      <c r="C2" s="649"/>
      <c r="D2" s="649"/>
      <c r="E2" s="650" t="s">
        <v>468</v>
      </c>
    </row>
    <row r="3" spans="1:6" x14ac:dyDescent="0.25">
      <c r="A3" s="649" t="s">
        <v>451</v>
      </c>
      <c r="B3" s="649"/>
      <c r="C3" s="649"/>
      <c r="D3" s="649"/>
      <c r="E3" s="650" t="s">
        <v>609</v>
      </c>
    </row>
    <row r="4" spans="1:6" x14ac:dyDescent="0.25">
      <c r="A4" s="649"/>
      <c r="B4" s="649"/>
      <c r="C4" s="649"/>
      <c r="D4" s="649"/>
      <c r="E4" s="650"/>
    </row>
    <row r="5" spans="1:6" x14ac:dyDescent="0.25">
      <c r="A5" s="649"/>
      <c r="B5" s="649"/>
      <c r="C5" s="649"/>
      <c r="D5" s="649"/>
      <c r="E5" s="650"/>
    </row>
    <row r="6" spans="1:6" x14ac:dyDescent="0.25">
      <c r="A6" s="368"/>
      <c r="B6" s="368"/>
      <c r="C6" s="368"/>
      <c r="D6" s="368"/>
      <c r="E6" s="369"/>
    </row>
    <row r="7" spans="1:6" ht="48" thickBot="1" x14ac:dyDescent="0.3">
      <c r="A7" s="370" t="s">
        <v>152</v>
      </c>
      <c r="B7" s="371" t="s">
        <v>461</v>
      </c>
      <c r="C7" s="371" t="s">
        <v>613</v>
      </c>
      <c r="D7" s="587" t="s">
        <v>614</v>
      </c>
      <c r="E7" s="587" t="s">
        <v>615</v>
      </c>
    </row>
    <row r="8" spans="1:6" x14ac:dyDescent="0.25">
      <c r="A8" s="372"/>
      <c r="B8" s="372"/>
      <c r="C8" s="372"/>
      <c r="D8" s="372"/>
      <c r="E8" s="372"/>
    </row>
    <row r="9" spans="1:6" x14ac:dyDescent="0.25">
      <c r="A9" s="373" t="s">
        <v>462</v>
      </c>
      <c r="B9" s="231">
        <f ca="1">'Sch M-2.2-G'!E9</f>
        <v>214163791.30864733</v>
      </c>
      <c r="C9" s="231">
        <f ca="1">'Sch M-2.2-G'!H9</f>
        <v>219379433.05454332</v>
      </c>
      <c r="D9" s="231">
        <f ca="1">C9-B9</f>
        <v>5215641.7458959818</v>
      </c>
      <c r="E9" s="588">
        <f ca="1">D9/B9</f>
        <v>2.4353517996790284E-2</v>
      </c>
    </row>
    <row r="10" spans="1:6" x14ac:dyDescent="0.25">
      <c r="A10" s="373"/>
      <c r="B10" s="231"/>
      <c r="C10" s="231"/>
      <c r="D10" s="231"/>
      <c r="E10" s="588"/>
    </row>
    <row r="11" spans="1:6" x14ac:dyDescent="0.25">
      <c r="A11" s="373" t="s">
        <v>463</v>
      </c>
      <c r="B11" s="231">
        <f ca="1">'Sch M-2.2-G'!E11</f>
        <v>90227771.579999998</v>
      </c>
      <c r="C11" s="231">
        <f ca="1">'Sch M-2.2-G'!H11</f>
        <v>92425334.225100845</v>
      </c>
      <c r="D11" s="231">
        <f ca="1">C11-B11</f>
        <v>2197562.6451008469</v>
      </c>
      <c r="E11" s="588">
        <f ca="1">D11/B11</f>
        <v>2.4355723372292189E-2</v>
      </c>
    </row>
    <row r="12" spans="1:6" x14ac:dyDescent="0.25">
      <c r="A12" s="373"/>
      <c r="B12" s="231"/>
      <c r="C12" s="231"/>
      <c r="D12" s="231"/>
      <c r="E12" s="588"/>
    </row>
    <row r="13" spans="1:6" x14ac:dyDescent="0.25">
      <c r="A13" s="373" t="s">
        <v>464</v>
      </c>
      <c r="B13" s="231">
        <f ca="1">'Sch M-2.2-G'!E13</f>
        <v>11713010.580002727</v>
      </c>
      <c r="C13" s="231">
        <f ca="1">'Sch M-2.2-G'!H13</f>
        <v>11713006.026454266</v>
      </c>
      <c r="D13" s="231">
        <f t="shared" ref="D13:D23" ca="1" si="0">C13-B13</f>
        <v>-4.5535484608262777</v>
      </c>
      <c r="E13" s="588">
        <f t="shared" ref="E13:E25" ca="1" si="1">D13/B13</f>
        <v>-3.8875986918345442E-7</v>
      </c>
      <c r="F13" s="634"/>
    </row>
    <row r="14" spans="1:6" x14ac:dyDescent="0.25">
      <c r="A14" s="373"/>
      <c r="B14" s="231"/>
      <c r="C14" s="231"/>
      <c r="D14" s="231"/>
      <c r="E14" s="588"/>
    </row>
    <row r="15" spans="1:6" x14ac:dyDescent="0.25">
      <c r="A15" s="373" t="s">
        <v>223</v>
      </c>
      <c r="B15" s="231">
        <f ca="1">'Sch M-2.2-G'!E15</f>
        <v>1076927.4693100373</v>
      </c>
      <c r="C15" s="231">
        <f ca="1">'Sch M-2.2-G'!H15</f>
        <v>1005366.4684158657</v>
      </c>
      <c r="D15" s="231">
        <f t="shared" ca="1" si="0"/>
        <v>-71561.000894171651</v>
      </c>
      <c r="E15" s="588">
        <f t="shared" ca="1" si="1"/>
        <v>-6.6449229807481039E-2</v>
      </c>
    </row>
    <row r="16" spans="1:6" x14ac:dyDescent="0.25">
      <c r="A16" s="373"/>
      <c r="B16" s="231"/>
      <c r="C16" s="231"/>
      <c r="D16" s="231"/>
      <c r="E16" s="588"/>
    </row>
    <row r="17" spans="1:11" x14ac:dyDescent="0.25">
      <c r="A17" s="373" t="s">
        <v>466</v>
      </c>
      <c r="B17" s="231">
        <f ca="1">'Sch M-2.2-G'!E17</f>
        <v>7771455.0799999991</v>
      </c>
      <c r="C17" s="231">
        <f ca="1">'Sch M-2.2-G'!H17</f>
        <v>7959857.5735641709</v>
      </c>
      <c r="D17" s="231">
        <f ca="1">C17-B17</f>
        <v>188402.49356417172</v>
      </c>
      <c r="E17" s="588">
        <f ca="1">D17/B17</f>
        <v>2.4242885228665793E-2</v>
      </c>
    </row>
    <row r="18" spans="1:11" x14ac:dyDescent="0.25">
      <c r="A18" s="373"/>
      <c r="B18" s="231"/>
      <c r="C18" s="231"/>
      <c r="D18" s="231"/>
      <c r="E18" s="588"/>
      <c r="K18" s="634"/>
    </row>
    <row r="19" spans="1:11" x14ac:dyDescent="0.25">
      <c r="A19" s="373" t="s">
        <v>465</v>
      </c>
      <c r="B19" s="231">
        <f ca="1">'Sch M-2.2-G'!E19</f>
        <v>2922300.5600000005</v>
      </c>
      <c r="C19" s="231">
        <f ca="1">'Sch M-2.2-G'!H19</f>
        <v>2851378.5485915598</v>
      </c>
      <c r="D19" s="231">
        <f ca="1">C19-B19</f>
        <v>-70922.011408440769</v>
      </c>
      <c r="E19" s="588">
        <f t="shared" ca="1" si="1"/>
        <v>-2.426923923541963E-2</v>
      </c>
    </row>
    <row r="20" spans="1:11" x14ac:dyDescent="0.25">
      <c r="A20" s="373"/>
      <c r="B20" s="231"/>
      <c r="C20" s="231"/>
      <c r="D20" s="231"/>
      <c r="E20" s="588"/>
    </row>
    <row r="21" spans="1:11" x14ac:dyDescent="0.25">
      <c r="A21" s="373" t="s">
        <v>467</v>
      </c>
      <c r="B21" s="232">
        <f ca="1">'Sch M-2.2-G'!E21</f>
        <v>7041.3588978934076</v>
      </c>
      <c r="C21" s="232">
        <f ca="1">'Sch M-2.2-G'!H21</f>
        <v>8329.4432178934057</v>
      </c>
      <c r="D21" s="232">
        <f t="shared" ca="1" si="0"/>
        <v>1288.0843199999981</v>
      </c>
      <c r="E21" s="588">
        <f t="shared" ca="1" si="1"/>
        <v>0.18293121238080332</v>
      </c>
    </row>
    <row r="22" spans="1:11" x14ac:dyDescent="0.25">
      <c r="A22" s="373"/>
      <c r="B22" s="232"/>
      <c r="C22" s="232"/>
      <c r="D22" s="232"/>
      <c r="E22" s="588"/>
    </row>
    <row r="23" spans="1:11" x14ac:dyDescent="0.25">
      <c r="A23" s="373" t="s">
        <v>722</v>
      </c>
      <c r="B23" s="232">
        <f>'Sch M-2.2-G'!E23</f>
        <v>19209.280000000002</v>
      </c>
      <c r="C23" s="232">
        <f>'Sch M-2.2-G'!H23</f>
        <v>58848.429916198154</v>
      </c>
      <c r="D23" s="232">
        <f t="shared" si="0"/>
        <v>39639.149916198148</v>
      </c>
      <c r="E23" s="588">
        <f t="shared" si="1"/>
        <v>2.0635416796568191</v>
      </c>
    </row>
    <row r="24" spans="1:11" x14ac:dyDescent="0.25">
      <c r="A24" s="373"/>
      <c r="B24" s="232"/>
      <c r="C24" s="232"/>
      <c r="D24" s="232"/>
      <c r="E24" s="589"/>
    </row>
    <row r="25" spans="1:11" x14ac:dyDescent="0.25">
      <c r="A25" s="374" t="s">
        <v>705</v>
      </c>
      <c r="B25" s="638">
        <f ca="1">SUM(B9:B23)</f>
        <v>327901507.21685791</v>
      </c>
      <c r="C25" s="638">
        <f ca="1">SUM(C9:C23)</f>
        <v>335401553.76980406</v>
      </c>
      <c r="D25" s="638">
        <f ca="1">SUM(D9:D23)</f>
        <v>7500046.5529461252</v>
      </c>
      <c r="E25" s="639">
        <f t="shared" ca="1" si="1"/>
        <v>2.287286391759695E-2</v>
      </c>
    </row>
    <row r="27" spans="1:11" x14ac:dyDescent="0.25">
      <c r="A27" s="373" t="s">
        <v>706</v>
      </c>
    </row>
    <row r="28" spans="1:11" x14ac:dyDescent="0.25">
      <c r="A28" s="641" t="s">
        <v>707</v>
      </c>
      <c r="B28" s="231">
        <v>1168995</v>
      </c>
      <c r="C28" s="231">
        <v>1168995</v>
      </c>
      <c r="D28" s="231">
        <f>C28-B28</f>
        <v>0</v>
      </c>
      <c r="E28" s="588">
        <f>D28/B28</f>
        <v>0</v>
      </c>
    </row>
    <row r="29" spans="1:11" x14ac:dyDescent="0.25">
      <c r="A29" s="641" t="s">
        <v>397</v>
      </c>
      <c r="B29" s="231">
        <v>88363</v>
      </c>
      <c r="C29" s="231">
        <v>88363</v>
      </c>
      <c r="D29" s="231">
        <f t="shared" ref="D29:D31" si="2">C29-B29</f>
        <v>0</v>
      </c>
      <c r="E29" s="588">
        <f t="shared" ref="E29:E31" si="3">D29/B29</f>
        <v>0</v>
      </c>
    </row>
    <row r="30" spans="1:11" x14ac:dyDescent="0.25">
      <c r="A30" s="641" t="s">
        <v>708</v>
      </c>
      <c r="B30" s="231">
        <v>388452</v>
      </c>
      <c r="C30" s="231">
        <v>388452</v>
      </c>
      <c r="D30" s="231">
        <f t="shared" si="2"/>
        <v>0</v>
      </c>
      <c r="E30" s="588">
        <f t="shared" si="3"/>
        <v>0</v>
      </c>
    </row>
    <row r="31" spans="1:11" x14ac:dyDescent="0.25">
      <c r="A31" s="641" t="s">
        <v>396</v>
      </c>
      <c r="B31" s="231">
        <v>650</v>
      </c>
      <c r="C31" s="231">
        <v>650</v>
      </c>
      <c r="D31" s="231">
        <f t="shared" si="2"/>
        <v>0</v>
      </c>
      <c r="E31" s="588">
        <f t="shared" si="3"/>
        <v>0</v>
      </c>
    </row>
    <row r="32" spans="1:11" x14ac:dyDescent="0.25">
      <c r="B32" s="634"/>
    </row>
    <row r="33" spans="1:5" ht="16.5" thickBot="1" x14ac:dyDescent="0.3">
      <c r="A33" s="374" t="s">
        <v>211</v>
      </c>
      <c r="B33" s="640">
        <f ca="1">SUM(B25:B31)</f>
        <v>329547967.21685791</v>
      </c>
      <c r="C33" s="640">
        <f t="shared" ref="C33:D33" ca="1" si="4">SUM(C25:C31)</f>
        <v>337048013.76980406</v>
      </c>
      <c r="D33" s="640">
        <f t="shared" ca="1" si="4"/>
        <v>7500046.5529461252</v>
      </c>
      <c r="E33" s="639">
        <f t="shared" ref="E33" ca="1" si="5">D33/B33</f>
        <v>2.2758588427313056E-2</v>
      </c>
    </row>
    <row r="34" spans="1:5" ht="16.5" thickTop="1" x14ac:dyDescent="0.25"/>
    <row r="35" spans="1:5" x14ac:dyDescent="0.25">
      <c r="D35" s="651"/>
      <c r="E35" s="634"/>
    </row>
    <row r="37" spans="1:5" x14ac:dyDescent="0.25">
      <c r="D37" s="652"/>
    </row>
    <row r="39" spans="1:5" x14ac:dyDescent="0.25">
      <c r="D39" s="634"/>
    </row>
    <row r="41" spans="1:5" x14ac:dyDescent="0.25">
      <c r="D41" s="634"/>
    </row>
  </sheetData>
  <printOptions horizontalCentered="1"/>
  <pageMargins left="0.75" right="0.75" top="1.75" bottom="0.5" header="0.75" footer="0.25"/>
  <pageSetup scale="68" orientation="portrait" r:id="rId1"/>
  <headerFooter>
    <oddHeader>&amp;C&amp;"Times New Roman,Bold"&amp;12Louisville Gas and Electric Company
Case No. 2016-00371
Forecast Period Revenues at Current and Proposed Gas Rates
for the Twelve Months Ended June 30, 2018
Gas Operations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Q122"/>
  <sheetViews>
    <sheetView topLeftCell="C1" workbookViewId="0">
      <selection activeCell="J9" sqref="J9"/>
    </sheetView>
  </sheetViews>
  <sheetFormatPr defaultColWidth="9.140625" defaultRowHeight="15.75" x14ac:dyDescent="0.25"/>
  <cols>
    <col min="1" max="1" width="47.140625" style="646" customWidth="1"/>
    <col min="2" max="2" width="16" style="646" customWidth="1"/>
    <col min="3" max="4" width="12.5703125" style="646" customWidth="1"/>
    <col min="5" max="5" width="16.28515625" style="646" customWidth="1"/>
    <col min="6" max="6" width="15.7109375" style="646" customWidth="1"/>
    <col min="7" max="7" width="15.42578125" style="646" customWidth="1"/>
    <col min="8" max="8" width="15.85546875" style="646" customWidth="1"/>
    <col min="9" max="9" width="14.5703125" style="646" customWidth="1"/>
    <col min="10" max="10" width="15.7109375" style="646" customWidth="1"/>
    <col min="11" max="12" width="13.7109375" style="646" customWidth="1"/>
    <col min="13" max="13" width="14.140625" style="646" customWidth="1"/>
    <col min="14" max="14" width="16" style="646" bestFit="1" customWidth="1"/>
    <col min="15" max="15" width="15.85546875" style="646" bestFit="1" customWidth="1"/>
    <col min="16" max="16" width="12.42578125" style="646" bestFit="1" customWidth="1"/>
    <col min="17" max="17" width="8.28515625" style="646" bestFit="1" customWidth="1"/>
    <col min="18" max="16384" width="9.140625" style="646"/>
  </cols>
  <sheetData>
    <row r="1" spans="1:17" x14ac:dyDescent="0.25">
      <c r="A1" s="653" t="s">
        <v>553</v>
      </c>
      <c r="K1" s="654" t="s">
        <v>555</v>
      </c>
      <c r="L1" s="654"/>
    </row>
    <row r="2" spans="1:17" x14ac:dyDescent="0.25">
      <c r="A2" s="655" t="s">
        <v>450</v>
      </c>
      <c r="K2" s="654" t="s">
        <v>468</v>
      </c>
      <c r="L2" s="654"/>
    </row>
    <row r="3" spans="1:17" x14ac:dyDescent="0.25">
      <c r="A3" s="655" t="s">
        <v>451</v>
      </c>
      <c r="K3" s="656" t="s">
        <v>609</v>
      </c>
      <c r="L3" s="656"/>
    </row>
    <row r="4" spans="1:17" x14ac:dyDescent="0.25">
      <c r="A4" s="655"/>
      <c r="J4" s="656"/>
      <c r="K4" s="656"/>
      <c r="L4" s="656"/>
    </row>
    <row r="5" spans="1:17" x14ac:dyDescent="0.25">
      <c r="A5" s="655"/>
      <c r="J5" s="656"/>
      <c r="K5" s="656"/>
      <c r="L5" s="656"/>
    </row>
    <row r="6" spans="1:17" x14ac:dyDescent="0.25">
      <c r="A6" s="657"/>
    </row>
    <row r="7" spans="1:17" ht="48" thickBot="1" x14ac:dyDescent="0.3">
      <c r="A7" s="658"/>
      <c r="B7" s="659" t="s">
        <v>469</v>
      </c>
      <c r="C7" s="659" t="s">
        <v>616</v>
      </c>
      <c r="D7" s="659" t="s">
        <v>610</v>
      </c>
      <c r="E7" s="659" t="s">
        <v>470</v>
      </c>
      <c r="F7" s="660" t="s">
        <v>471</v>
      </c>
      <c r="G7" s="660" t="s">
        <v>773</v>
      </c>
      <c r="H7" s="659" t="s">
        <v>774</v>
      </c>
      <c r="I7" s="659" t="s">
        <v>775</v>
      </c>
      <c r="J7" s="659" t="s">
        <v>611</v>
      </c>
      <c r="K7" s="659" t="s">
        <v>612</v>
      </c>
      <c r="L7" s="661"/>
      <c r="M7"/>
      <c r="N7"/>
      <c r="O7"/>
    </row>
    <row r="8" spans="1:17" x14ac:dyDescent="0.25">
      <c r="B8" s="662"/>
      <c r="C8" s="662"/>
      <c r="D8" s="662"/>
      <c r="E8" s="663"/>
      <c r="F8" s="725"/>
      <c r="G8" s="725"/>
      <c r="H8" s="663"/>
      <c r="I8" s="664"/>
      <c r="J8" s="663"/>
      <c r="K8" s="663"/>
      <c r="L8" s="663"/>
      <c r="M8"/>
      <c r="N8"/>
      <c r="O8"/>
    </row>
    <row r="9" spans="1:17" x14ac:dyDescent="0.25">
      <c r="A9" s="373" t="s">
        <v>462</v>
      </c>
      <c r="B9" s="728">
        <f ca="1">'Sch M-2.3 Pg. 2-9'!F14</f>
        <v>3556511</v>
      </c>
      <c r="C9" s="728">
        <f>'Sch M-2.3 Pg. 2-9'!G17</f>
        <v>19516321.910371594</v>
      </c>
      <c r="D9" s="729">
        <f ca="1">ROUND(C9/B9,3)</f>
        <v>5.4870000000000001</v>
      </c>
      <c r="E9" s="730">
        <f ca="1">'Sch M-2.3 Pg. 2-9'!J31</f>
        <v>214163791.30864733</v>
      </c>
      <c r="F9" s="731">
        <f ca="1">(E9/C9)*D9</f>
        <v>60.211997337779799</v>
      </c>
      <c r="G9" s="730">
        <f ca="1">'Sch M-2.3 Pg.1'!G11</f>
        <v>5215641.7458959818</v>
      </c>
      <c r="H9" s="730">
        <f ca="1">'Sch M-2.3 Pg. 2-9'!M31</f>
        <v>219379433.05454332</v>
      </c>
      <c r="I9" s="732">
        <f ca="1">(H9/C9)*D9</f>
        <v>61.678371298568109</v>
      </c>
      <c r="J9" s="733">
        <f ca="1">I9-F9</f>
        <v>1.4663739607883102</v>
      </c>
      <c r="K9" s="734">
        <f ca="1">J9/F9</f>
        <v>2.4353517996790305E-2</v>
      </c>
      <c r="L9" s="633"/>
      <c r="M9"/>
      <c r="N9"/>
      <c r="O9"/>
    </row>
    <row r="10" spans="1:17" x14ac:dyDescent="0.25">
      <c r="A10" s="373"/>
      <c r="B10" s="728"/>
      <c r="C10" s="728"/>
      <c r="D10" s="729"/>
      <c r="E10" s="730"/>
      <c r="F10" s="731"/>
      <c r="G10" s="730"/>
      <c r="H10" s="730"/>
      <c r="I10" s="732"/>
      <c r="J10" s="733"/>
      <c r="K10" s="733"/>
      <c r="L10" s="667"/>
      <c r="M10"/>
      <c r="N10"/>
      <c r="O10"/>
    </row>
    <row r="11" spans="1:17" x14ac:dyDescent="0.25">
      <c r="A11" s="373" t="s">
        <v>463</v>
      </c>
      <c r="B11" s="728">
        <f>'Sch M-2.3 Pg. 2-9'!F50+'Sch M-2.3 Pg. 2-9'!F51</f>
        <v>299348</v>
      </c>
      <c r="C11" s="728">
        <f>'Sch M-2.3 Pg. 2-9'!G54+'Sch M-2.3 Pg. 2-9'!H55</f>
        <v>10134935.62608517</v>
      </c>
      <c r="D11" s="729">
        <f>ROUND(C11/B11,3)</f>
        <v>33.856999999999999</v>
      </c>
      <c r="E11" s="730">
        <f ca="1">'Sch M-2.3 Pg. 2-9'!J78</f>
        <v>90227771.579999998</v>
      </c>
      <c r="F11" s="731">
        <f ca="1">(E11/C11)*D11</f>
        <v>301.41697738282096</v>
      </c>
      <c r="G11" s="730">
        <f ca="1">'Sch M-2.3 Pg.1'!G13</f>
        <v>2197562.6451008469</v>
      </c>
      <c r="H11" s="730">
        <f ca="1">'Sch M-2.3 Pg. 2-9'!M78</f>
        <v>92425334.225100845</v>
      </c>
      <c r="I11" s="732">
        <f ca="1">(H11/C11)*D11</f>
        <v>308.75820590366942</v>
      </c>
      <c r="J11" s="733">
        <f ca="1">I11-F11</f>
        <v>7.3412285208484604</v>
      </c>
      <c r="K11" s="734">
        <f ca="1">J11/F11</f>
        <v>2.4355723372292262E-2</v>
      </c>
      <c r="L11" s="633"/>
      <c r="M11"/>
      <c r="N11"/>
      <c r="O11"/>
      <c r="Q11" s="634"/>
    </row>
    <row r="12" spans="1:17" x14ac:dyDescent="0.25">
      <c r="A12" s="373"/>
      <c r="B12" s="728"/>
      <c r="C12" s="728"/>
      <c r="D12" s="729"/>
      <c r="E12" s="730"/>
      <c r="F12" s="731"/>
      <c r="G12" s="730"/>
      <c r="H12" s="730"/>
      <c r="I12" s="732"/>
      <c r="J12" s="733"/>
      <c r="K12" s="733"/>
      <c r="L12" s="667"/>
      <c r="M12"/>
      <c r="N12"/>
      <c r="O12"/>
      <c r="Q12" s="634"/>
    </row>
    <row r="13" spans="1:17" x14ac:dyDescent="0.25">
      <c r="A13" s="373" t="s">
        <v>464</v>
      </c>
      <c r="B13" s="735">
        <f>'Sch M-2.3 Pg. 2-9'!F97+'Sch M-2.3 Pg. 2-9'!F98+'Sch M-2.3 Pg. 2-9'!F113</f>
        <v>3198</v>
      </c>
      <c r="C13" s="735">
        <f>'Sch M-2.3 Pg. 2-9'!G101+'Sch M-2.3 Pg. 2-9'!H102+'Sch M-2.3 Pg. 2-9'!G117+'Sch M-2.3 Pg. 2-9'!H118</f>
        <v>1948733.4118655899</v>
      </c>
      <c r="D13" s="729">
        <f>ROUND(C13/B13,3)</f>
        <v>609.36</v>
      </c>
      <c r="E13" s="736">
        <f ca="1">'Sch M-2.3 Pg. 2-9'!J130+'Sch M-2.3 Pg. 2-9'!J138</f>
        <v>11713010.580002727</v>
      </c>
      <c r="F13" s="731">
        <f ca="1">(E13/C13)*D13</f>
        <v>3662.604686496109</v>
      </c>
      <c r="G13" s="730">
        <f ca="1">'Sch M-2.3 Pg.1'!G15</f>
        <v>-4.5535484608262777</v>
      </c>
      <c r="H13" s="730">
        <f ca="1">'Sch M-2.3 Pg. 2-9'!M130+'Sch M-2.3 Pg. 2-9'!M138</f>
        <v>11713006.026454266</v>
      </c>
      <c r="I13" s="732">
        <f ca="1">(H13/C13)*D13</f>
        <v>3662.6032626223905</v>
      </c>
      <c r="J13" s="733">
        <f ca="1">I13-F13</f>
        <v>-1.4238737185223727E-3</v>
      </c>
      <c r="K13" s="734">
        <f ca="1">J13/F13</f>
        <v>-3.8875986910958303E-7</v>
      </c>
      <c r="L13" s="633"/>
      <c r="M13"/>
      <c r="N13"/>
      <c r="O13"/>
    </row>
    <row r="14" spans="1:17" x14ac:dyDescent="0.25">
      <c r="A14" s="373"/>
      <c r="B14" s="735"/>
      <c r="C14" s="735"/>
      <c r="D14" s="737"/>
      <c r="E14" s="736"/>
      <c r="F14" s="732"/>
      <c r="G14" s="730"/>
      <c r="H14" s="730"/>
      <c r="I14" s="732"/>
      <c r="J14" s="733"/>
      <c r="K14" s="733"/>
      <c r="L14" s="667"/>
      <c r="M14"/>
      <c r="N14"/>
      <c r="O14"/>
    </row>
    <row r="15" spans="1:17" x14ac:dyDescent="0.25">
      <c r="A15" s="373" t="s">
        <v>223</v>
      </c>
      <c r="B15" s="735">
        <f ca="1">'Sch M-2.3 Pg. 2-9'!F157+'Sch M-2.3 Pg. 2-9'!F171</f>
        <v>72</v>
      </c>
      <c r="C15" s="735">
        <f ca="1">'Sch M-2.3 Pg. 2-9'!G160+'Sch M-2.3 Pg. 2-9'!G175</f>
        <v>384116.30106506636</v>
      </c>
      <c r="D15" s="729">
        <f ca="1">ROUND(C15/B15,3)</f>
        <v>5334.9489999999996</v>
      </c>
      <c r="E15" s="736">
        <f ca="1">'Sch M-2.3 Pg. 2-9'!J188</f>
        <v>1076927.4693100373</v>
      </c>
      <c r="F15" s="731">
        <f ca="1">(E15/C15)*D15</f>
        <v>14957.327011474306</v>
      </c>
      <c r="G15" s="730">
        <f ca="1">'Sch M-2.3 Pg.1'!G19</f>
        <v>-71561.000894171651</v>
      </c>
      <c r="H15" s="730">
        <f ca="1">'Sch M-2.3 Pg. 2-9'!M188</f>
        <v>1005366.4684158657</v>
      </c>
      <c r="I15" s="732">
        <f ca="1">(H15/C15)*D15</f>
        <v>13963.424151583207</v>
      </c>
      <c r="J15" s="733">
        <f ca="1">I15-F15</f>
        <v>-993.90285989109907</v>
      </c>
      <c r="K15" s="734">
        <f ca="1">J15/F15</f>
        <v>-6.6449229807480997E-2</v>
      </c>
      <c r="L15" s="633"/>
      <c r="M15"/>
      <c r="N15"/>
      <c r="O15"/>
    </row>
    <row r="16" spans="1:17" x14ac:dyDescent="0.25">
      <c r="A16" s="373"/>
      <c r="B16" s="735"/>
      <c r="C16" s="735"/>
      <c r="D16" s="737"/>
      <c r="E16" s="736"/>
      <c r="F16" s="732"/>
      <c r="G16" s="730"/>
      <c r="H16" s="730"/>
      <c r="I16" s="732"/>
      <c r="J16" s="733"/>
      <c r="K16" s="733"/>
      <c r="L16" s="667"/>
      <c r="M16"/>
      <c r="N16"/>
      <c r="O16"/>
    </row>
    <row r="17" spans="1:15" x14ac:dyDescent="0.25">
      <c r="A17" s="373" t="s">
        <v>466</v>
      </c>
      <c r="B17" s="738">
        <f>'Sch M-2.3 Pg. 2-9'!F208</f>
        <v>876</v>
      </c>
      <c r="C17" s="735">
        <f>'Sch M-2.3 Pg. 2-9'!G210</f>
        <v>12313888.497179303</v>
      </c>
      <c r="D17" s="729">
        <f>ROUND(C17/B17,3)</f>
        <v>14056.95</v>
      </c>
      <c r="E17" s="736">
        <f ca="1">'Sch M-2.3 Pg. 2-9'!J221+'Sch M-2.3 Pg. 2-9'!J232</f>
        <v>7771455.0799999991</v>
      </c>
      <c r="F17" s="731">
        <f ca="1">(E17/C17)*D17</f>
        <v>8871.523849824518</v>
      </c>
      <c r="G17" s="730">
        <f ca="1">'Sch M-2.3 Pg.1'!G21</f>
        <v>188402.49356417172</v>
      </c>
      <c r="H17" s="730">
        <f ca="1">'Sch M-2.3 Pg. 2-9'!M221+'Sch M-2.3 Pg. 2-9'!M232</f>
        <v>7959857.5735641709</v>
      </c>
      <c r="I17" s="732">
        <f ca="1">(H17/C17)*D17</f>
        <v>9086.595184319187</v>
      </c>
      <c r="J17" s="733">
        <f ca="1">I17-F17</f>
        <v>215.07133449466892</v>
      </c>
      <c r="K17" s="734">
        <f ca="1">J17/F17</f>
        <v>2.4242885228665998E-2</v>
      </c>
      <c r="L17" s="633"/>
      <c r="M17"/>
      <c r="N17"/>
      <c r="O17"/>
    </row>
    <row r="18" spans="1:15" x14ac:dyDescent="0.25">
      <c r="A18" s="373"/>
      <c r="B18" s="735"/>
      <c r="C18" s="735"/>
      <c r="D18" s="737"/>
      <c r="E18" s="736"/>
      <c r="F18" s="732"/>
      <c r="G18" s="730"/>
      <c r="H18" s="730"/>
      <c r="I18" s="732"/>
      <c r="J18" s="733"/>
      <c r="K18" s="733"/>
      <c r="L18" s="667"/>
      <c r="M18"/>
      <c r="N18"/>
      <c r="O18"/>
    </row>
    <row r="19" spans="1:15" x14ac:dyDescent="0.25">
      <c r="A19" s="373" t="s">
        <v>465</v>
      </c>
      <c r="B19" s="739">
        <f>'Sch M-2.3 Pg. 2-9'!F250</f>
        <v>12</v>
      </c>
      <c r="C19" s="735">
        <f>'Sch M-2.3 Pg. 2-9'!G252</f>
        <v>154579.79999999999</v>
      </c>
      <c r="D19" s="729">
        <f>ROUND(C19/B19,3)</f>
        <v>12881.65</v>
      </c>
      <c r="E19" s="736">
        <f ca="1">'Sch M-2.3 Pg. 2-9'!J264</f>
        <v>2922300.5600000005</v>
      </c>
      <c r="F19" s="731">
        <f ca="1">(E19/C19)*D19</f>
        <v>243525.04666666672</v>
      </c>
      <c r="G19" s="730">
        <f ca="1">'Sch M-2.3 Pg.1'!G23</f>
        <v>-70922.011408440769</v>
      </c>
      <c r="H19" s="730">
        <f ca="1">'Sch M-2.3 Pg. 2-9'!M264</f>
        <v>2851378.5485915598</v>
      </c>
      <c r="I19" s="732">
        <f ca="1">(H19/C19)*D19</f>
        <v>237614.87904929667</v>
      </c>
      <c r="J19" s="733">
        <f ca="1">I19-F19</f>
        <v>-5910.1676173700544</v>
      </c>
      <c r="K19" s="734">
        <f ca="1">J19/F19</f>
        <v>-2.4269239235419588E-2</v>
      </c>
      <c r="L19" s="633"/>
      <c r="M19"/>
      <c r="N19"/>
      <c r="O19"/>
    </row>
    <row r="20" spans="1:15" x14ac:dyDescent="0.25">
      <c r="A20" s="373"/>
      <c r="B20" s="739"/>
      <c r="C20" s="735"/>
      <c r="D20" s="737"/>
      <c r="E20" s="736"/>
      <c r="F20" s="732"/>
      <c r="G20" s="730"/>
      <c r="H20" s="730"/>
      <c r="I20" s="732"/>
      <c r="J20" s="733"/>
      <c r="K20" s="733"/>
      <c r="L20" s="667"/>
      <c r="M20"/>
      <c r="N20"/>
      <c r="O20"/>
    </row>
    <row r="21" spans="1:15" x14ac:dyDescent="0.25">
      <c r="A21" s="373" t="s">
        <v>467</v>
      </c>
      <c r="B21" s="739">
        <f ca="1">'Sch M-2.3 Pg. 2-9'!F283</f>
        <v>12</v>
      </c>
      <c r="C21" s="735">
        <f>'Sch M-2.3 Pg. 2-9'!G286</f>
        <v>7.1999999999999993</v>
      </c>
      <c r="D21" s="729">
        <f ca="1">ROUND(C21/B21,3)</f>
        <v>0.6</v>
      </c>
      <c r="E21" s="736">
        <f ca="1">'Sch M-2.3 Pg. 2-9'!J298</f>
        <v>7041.3588978934076</v>
      </c>
      <c r="F21" s="731">
        <f ca="1">(E21/C21)*D21</f>
        <v>586.77990815778401</v>
      </c>
      <c r="G21" s="730">
        <f ca="1">'Sch M-2.3 Pg.1'!G17</f>
        <v>1288.0843199999981</v>
      </c>
      <c r="H21" s="730">
        <f ca="1">'Sch M-2.3 Pg. 2-9'!M298</f>
        <v>8329.4432178934057</v>
      </c>
      <c r="I21" s="732">
        <f ca="1">(H21/C21)*D21</f>
        <v>694.12026815778393</v>
      </c>
      <c r="J21" s="733">
        <f ca="1">I21-F21</f>
        <v>107.34035999999992</v>
      </c>
      <c r="K21" s="734">
        <f ca="1">J21/F21</f>
        <v>0.18293121238080343</v>
      </c>
      <c r="L21" s="633"/>
      <c r="M21"/>
      <c r="N21"/>
      <c r="O21"/>
    </row>
    <row r="22" spans="1:15" x14ac:dyDescent="0.25">
      <c r="B22" s="725"/>
      <c r="C22" s="728"/>
      <c r="D22" s="725"/>
      <c r="E22" s="730"/>
      <c r="F22" s="740"/>
      <c r="G22" s="730"/>
      <c r="H22" s="730"/>
      <c r="I22" s="736"/>
      <c r="J22" s="725"/>
      <c r="K22" s="725"/>
      <c r="M22"/>
      <c r="N22"/>
      <c r="O22"/>
    </row>
    <row r="23" spans="1:15" x14ac:dyDescent="0.25">
      <c r="A23" s="646" t="s">
        <v>723</v>
      </c>
      <c r="B23" s="725">
        <f>'Sch M-2.3 Pg. 2-9'!F316</f>
        <v>12</v>
      </c>
      <c r="C23" s="728">
        <f>'Sch M-2.3 Pg. 2-9'!G319</f>
        <v>2970.2</v>
      </c>
      <c r="D23" s="729">
        <f>ROUND(C23/B23,3)</f>
        <v>247.517</v>
      </c>
      <c r="E23" s="730">
        <f>'Sch M-2.3 Pg. 2-9'!J333</f>
        <v>19209.280000000002</v>
      </c>
      <c r="F23" s="731">
        <f>(E23/C23)*D23</f>
        <v>1600.7754891118445</v>
      </c>
      <c r="G23" s="730">
        <f>'Sch M-2.3 Pg. 2-9'!M335</f>
        <v>39639.149916198148</v>
      </c>
      <c r="H23" s="730">
        <f>'Sch M-2.3 Pg. 2-9'!M333</f>
        <v>58848.429916198154</v>
      </c>
      <c r="I23" s="732">
        <f>(H23/C23)*D23</f>
        <v>4904.0424306671666</v>
      </c>
      <c r="J23" s="733">
        <f>I23-F23</f>
        <v>3303.2669415553219</v>
      </c>
      <c r="K23" s="734">
        <f>J23/F23</f>
        <v>2.0635416796568191</v>
      </c>
      <c r="M23"/>
      <c r="N23"/>
      <c r="O23"/>
    </row>
    <row r="24" spans="1:15" x14ac:dyDescent="0.25">
      <c r="C24" s="665"/>
      <c r="E24" s="666"/>
      <c r="F24" s="670"/>
      <c r="G24" s="666"/>
      <c r="H24" s="666"/>
      <c r="I24" s="669"/>
      <c r="M24"/>
      <c r="N24"/>
      <c r="O24"/>
    </row>
    <row r="25" spans="1:15" x14ac:dyDescent="0.25">
      <c r="B25" s="665"/>
      <c r="E25" s="666"/>
      <c r="F25" s="670"/>
      <c r="G25" s="666"/>
      <c r="H25" s="666"/>
      <c r="I25" s="669"/>
    </row>
    <row r="26" spans="1:15" x14ac:dyDescent="0.25">
      <c r="B26"/>
      <c r="C26"/>
      <c r="D26"/>
      <c r="E26"/>
      <c r="F26"/>
      <c r="G26"/>
      <c r="H26"/>
      <c r="I26"/>
      <c r="J26"/>
    </row>
    <row r="27" spans="1:15" x14ac:dyDescent="0.25">
      <c r="B27"/>
      <c r="C27"/>
      <c r="D27"/>
      <c r="E27"/>
      <c r="F27"/>
      <c r="G27"/>
      <c r="H27"/>
      <c r="I27"/>
      <c r="J27"/>
    </row>
    <row r="28" spans="1:15" x14ac:dyDescent="0.25">
      <c r="B28"/>
      <c r="C28"/>
      <c r="D28"/>
      <c r="E28"/>
      <c r="F28"/>
      <c r="G28"/>
      <c r="H28"/>
      <c r="I28"/>
      <c r="J28"/>
    </row>
    <row r="29" spans="1:15" x14ac:dyDescent="0.25">
      <c r="B29"/>
      <c r="C29"/>
      <c r="D29"/>
      <c r="E29"/>
      <c r="F29"/>
      <c r="G29"/>
      <c r="H29"/>
      <c r="I29"/>
      <c r="J29"/>
    </row>
    <row r="30" spans="1:15" x14ac:dyDescent="0.25">
      <c r="B30"/>
      <c r="C30"/>
      <c r="D30"/>
      <c r="E30"/>
      <c r="F30"/>
      <c r="G30"/>
      <c r="H30"/>
      <c r="I30"/>
      <c r="J30"/>
    </row>
    <row r="31" spans="1:15" x14ac:dyDescent="0.25">
      <c r="B31"/>
      <c r="C31"/>
      <c r="D31"/>
      <c r="E31"/>
      <c r="F31"/>
      <c r="G31"/>
      <c r="H31"/>
      <c r="I31"/>
      <c r="J31"/>
    </row>
    <row r="32" spans="1:15" x14ac:dyDescent="0.25">
      <c r="B32"/>
      <c r="C32"/>
      <c r="D32"/>
      <c r="E32"/>
      <c r="F32"/>
      <c r="G32"/>
      <c r="H32"/>
      <c r="I32"/>
      <c r="J32"/>
    </row>
    <row r="33" spans="1:12" x14ac:dyDescent="0.25">
      <c r="B33"/>
      <c r="C33"/>
      <c r="D33"/>
      <c r="E33"/>
      <c r="F33"/>
      <c r="G33"/>
      <c r="H33"/>
      <c r="I33"/>
      <c r="J33"/>
    </row>
    <row r="34" spans="1:12" x14ac:dyDescent="0.25">
      <c r="B34"/>
      <c r="C34"/>
      <c r="D34"/>
      <c r="E34"/>
      <c r="F34"/>
      <c r="G34"/>
      <c r="H34"/>
      <c r="I34"/>
      <c r="J34"/>
    </row>
    <row r="35" spans="1:12" x14ac:dyDescent="0.25">
      <c r="B35"/>
      <c r="C35"/>
      <c r="D35"/>
      <c r="E35"/>
      <c r="F35"/>
      <c r="G35"/>
      <c r="H35"/>
      <c r="I35"/>
      <c r="J35"/>
    </row>
    <row r="36" spans="1:12" x14ac:dyDescent="0.25">
      <c r="B36"/>
      <c r="C36"/>
      <c r="D36"/>
      <c r="E36"/>
      <c r="F36"/>
      <c r="G36"/>
      <c r="H36"/>
      <c r="I36"/>
      <c r="J36"/>
    </row>
    <row r="37" spans="1:12" x14ac:dyDescent="0.25">
      <c r="B37"/>
      <c r="C37"/>
      <c r="D37"/>
      <c r="E37"/>
      <c r="F37"/>
      <c r="G37"/>
      <c r="H37"/>
      <c r="I37"/>
      <c r="J37"/>
    </row>
    <row r="38" spans="1:12" x14ac:dyDescent="0.25">
      <c r="B38"/>
      <c r="C38"/>
      <c r="D38"/>
      <c r="E38"/>
      <c r="F38"/>
      <c r="G38"/>
      <c r="H38"/>
      <c r="I38"/>
      <c r="J38"/>
    </row>
    <row r="39" spans="1:12" x14ac:dyDescent="0.25">
      <c r="B39"/>
      <c r="C39"/>
      <c r="D39"/>
      <c r="E39"/>
      <c r="F39"/>
      <c r="G39"/>
      <c r="H39"/>
      <c r="I39"/>
      <c r="J39"/>
    </row>
    <row r="40" spans="1:12" x14ac:dyDescent="0.25">
      <c r="B40"/>
      <c r="C40"/>
      <c r="D40"/>
      <c r="E40"/>
      <c r="F40"/>
      <c r="G40"/>
      <c r="H40"/>
      <c r="I40"/>
      <c r="J40"/>
    </row>
    <row r="41" spans="1:12" x14ac:dyDescent="0.25">
      <c r="B41"/>
      <c r="C41"/>
      <c r="D41"/>
      <c r="E41"/>
      <c r="F41"/>
      <c r="G41"/>
      <c r="H41"/>
      <c r="I41"/>
      <c r="J41"/>
    </row>
    <row r="42" spans="1:12" x14ac:dyDescent="0.25">
      <c r="B42"/>
      <c r="C42"/>
      <c r="D42"/>
      <c r="E42"/>
      <c r="F42"/>
      <c r="G42"/>
      <c r="H42"/>
      <c r="I42"/>
      <c r="J42"/>
    </row>
    <row r="43" spans="1:12" x14ac:dyDescent="0.25">
      <c r="B43"/>
      <c r="C43"/>
      <c r="D43"/>
      <c r="E43"/>
      <c r="F43"/>
      <c r="G43"/>
      <c r="H43"/>
      <c r="I43"/>
      <c r="J43"/>
    </row>
    <row r="44" spans="1:12" x14ac:dyDescent="0.25">
      <c r="A44" s="671"/>
      <c r="B44"/>
      <c r="C44"/>
      <c r="D44"/>
      <c r="E44"/>
      <c r="F44"/>
      <c r="G44"/>
      <c r="H44"/>
      <c r="I44"/>
      <c r="J44"/>
      <c r="K44" s="669"/>
      <c r="L44" s="669"/>
    </row>
    <row r="45" spans="1:12" x14ac:dyDescent="0.25">
      <c r="A45" s="673"/>
      <c r="B45"/>
      <c r="C45"/>
      <c r="D45"/>
      <c r="E45"/>
      <c r="F45"/>
      <c r="G45"/>
      <c r="H45"/>
      <c r="I45"/>
      <c r="J45"/>
      <c r="K45" s="674"/>
      <c r="L45" s="674"/>
    </row>
    <row r="46" spans="1:12" x14ac:dyDescent="0.25">
      <c r="B46" s="674"/>
      <c r="C46" s="674"/>
      <c r="D46" s="674"/>
      <c r="E46" s="674"/>
      <c r="F46" s="674"/>
      <c r="G46" s="674"/>
      <c r="H46" s="674"/>
      <c r="I46" s="674"/>
      <c r="J46" s="674"/>
      <c r="K46" s="674"/>
      <c r="L46" s="674"/>
    </row>
    <row r="47" spans="1:12" x14ac:dyDescent="0.25">
      <c r="A47" s="675"/>
      <c r="B47" s="672"/>
      <c r="C47" s="672"/>
      <c r="D47" s="672"/>
      <c r="E47" s="672"/>
      <c r="F47" s="672"/>
      <c r="G47" s="672"/>
      <c r="H47" s="669"/>
      <c r="I47" s="669"/>
      <c r="J47" s="669"/>
      <c r="K47" s="669"/>
      <c r="L47" s="669"/>
    </row>
    <row r="48" spans="1:12" ht="18" x14ac:dyDescent="0.4">
      <c r="A48" s="675"/>
      <c r="B48" s="676"/>
      <c r="C48" s="676"/>
      <c r="D48" s="676"/>
      <c r="E48" s="676"/>
      <c r="F48" s="676"/>
      <c r="G48" s="676"/>
      <c r="H48" s="676"/>
      <c r="I48" s="676"/>
      <c r="J48" s="676"/>
      <c r="K48" s="676"/>
      <c r="L48" s="676"/>
    </row>
    <row r="49" spans="1:12" x14ac:dyDescent="0.25">
      <c r="A49" s="647"/>
      <c r="B49" s="674"/>
      <c r="C49" s="674"/>
      <c r="D49" s="674"/>
      <c r="E49" s="674"/>
      <c r="F49" s="674"/>
      <c r="G49" s="674"/>
      <c r="H49" s="666"/>
      <c r="I49" s="666"/>
      <c r="J49" s="666"/>
      <c r="K49" s="666"/>
      <c r="L49" s="666"/>
    </row>
    <row r="50" spans="1:12" x14ac:dyDescent="0.25">
      <c r="B50" s="674"/>
      <c r="C50" s="674"/>
      <c r="D50" s="674"/>
      <c r="E50" s="674"/>
      <c r="F50" s="674"/>
      <c r="G50" s="674"/>
      <c r="H50" s="674"/>
      <c r="I50" s="674"/>
      <c r="J50" s="674"/>
      <c r="K50" s="674"/>
      <c r="L50" s="674"/>
    </row>
    <row r="51" spans="1:12" x14ac:dyDescent="0.25">
      <c r="B51" s="672"/>
      <c r="C51" s="672"/>
      <c r="D51" s="672"/>
      <c r="E51" s="672"/>
      <c r="F51" s="672"/>
      <c r="G51" s="672"/>
      <c r="H51" s="669"/>
      <c r="I51" s="669"/>
      <c r="J51" s="669"/>
      <c r="K51" s="669"/>
      <c r="L51" s="669"/>
    </row>
    <row r="52" spans="1:12" x14ac:dyDescent="0.25">
      <c r="B52" s="674"/>
      <c r="C52" s="674"/>
      <c r="D52" s="674"/>
      <c r="E52" s="674"/>
      <c r="F52" s="674"/>
      <c r="G52" s="674"/>
      <c r="H52" s="666"/>
      <c r="I52" s="666"/>
      <c r="J52" s="666"/>
      <c r="K52" s="666"/>
      <c r="L52" s="666"/>
    </row>
    <row r="53" spans="1:12" x14ac:dyDescent="0.25">
      <c r="B53" s="672"/>
      <c r="C53" s="672"/>
      <c r="D53" s="672"/>
      <c r="E53" s="672"/>
      <c r="F53" s="672"/>
      <c r="G53" s="672"/>
      <c r="H53" s="669"/>
      <c r="I53" s="669"/>
      <c r="J53" s="669"/>
      <c r="K53" s="669"/>
      <c r="L53" s="669"/>
    </row>
    <row r="54" spans="1:12" x14ac:dyDescent="0.25">
      <c r="B54" s="674"/>
      <c r="C54" s="674"/>
      <c r="D54" s="674"/>
      <c r="E54" s="674"/>
      <c r="F54" s="674"/>
      <c r="G54" s="674"/>
      <c r="H54" s="666"/>
      <c r="I54" s="666"/>
      <c r="J54" s="666"/>
      <c r="K54" s="666"/>
      <c r="L54" s="666"/>
    </row>
    <row r="55" spans="1:12" x14ac:dyDescent="0.25">
      <c r="B55" s="672"/>
      <c r="C55" s="672"/>
      <c r="D55" s="672"/>
      <c r="E55" s="672"/>
      <c r="F55" s="672"/>
      <c r="G55" s="672"/>
      <c r="H55" s="669"/>
      <c r="I55" s="669"/>
      <c r="J55" s="669"/>
      <c r="K55" s="669"/>
      <c r="L55" s="669"/>
    </row>
    <row r="56" spans="1:12" x14ac:dyDescent="0.25">
      <c r="B56" s="672"/>
      <c r="C56" s="672"/>
      <c r="D56" s="672"/>
      <c r="E56" s="672"/>
      <c r="F56" s="672"/>
      <c r="G56" s="672"/>
      <c r="H56" s="669"/>
      <c r="I56" s="669"/>
      <c r="J56" s="669"/>
      <c r="K56" s="669"/>
      <c r="L56" s="669"/>
    </row>
    <row r="57" spans="1:12" x14ac:dyDescent="0.25">
      <c r="B57" s="677"/>
      <c r="C57" s="677"/>
      <c r="D57" s="677"/>
      <c r="E57" s="677"/>
      <c r="F57" s="677"/>
      <c r="G57" s="677"/>
      <c r="H57" s="677"/>
      <c r="I57" s="677"/>
      <c r="J57" s="677"/>
      <c r="K57" s="677"/>
      <c r="L57" s="677"/>
    </row>
    <row r="58" spans="1:12" x14ac:dyDescent="0.25">
      <c r="B58" s="674"/>
      <c r="C58" s="674"/>
      <c r="D58" s="674"/>
      <c r="E58" s="674"/>
      <c r="F58" s="674"/>
      <c r="G58" s="674"/>
      <c r="H58" s="666"/>
      <c r="I58" s="666"/>
      <c r="J58" s="666"/>
      <c r="K58" s="666"/>
      <c r="L58" s="666"/>
    </row>
    <row r="59" spans="1:12" x14ac:dyDescent="0.25">
      <c r="B59" s="674"/>
      <c r="C59" s="674"/>
      <c r="D59" s="674"/>
      <c r="E59" s="674"/>
      <c r="F59" s="674"/>
      <c r="G59" s="674"/>
    </row>
    <row r="60" spans="1:12" ht="18" x14ac:dyDescent="0.4">
      <c r="B60" s="678"/>
      <c r="C60" s="678"/>
      <c r="D60" s="678"/>
      <c r="E60" s="678"/>
      <c r="F60" s="678"/>
      <c r="G60" s="678"/>
      <c r="H60" s="679"/>
      <c r="I60" s="679"/>
      <c r="J60" s="679"/>
      <c r="K60" s="679"/>
      <c r="L60" s="679"/>
    </row>
    <row r="62" spans="1:12" x14ac:dyDescent="0.25">
      <c r="B62" s="634"/>
      <c r="C62" s="634"/>
    </row>
    <row r="65" spans="1:16" x14ac:dyDescent="0.25">
      <c r="B65" s="674"/>
      <c r="C65" s="674"/>
      <c r="D65" s="674"/>
      <c r="E65" s="674"/>
      <c r="F65" s="674"/>
      <c r="G65" s="674"/>
      <c r="H65" s="674"/>
      <c r="I65" s="674"/>
      <c r="J65" s="674"/>
      <c r="K65" s="674"/>
      <c r="L65" s="674"/>
    </row>
    <row r="66" spans="1:16" x14ac:dyDescent="0.25">
      <c r="B66" s="674"/>
      <c r="C66" s="674"/>
      <c r="D66" s="674"/>
      <c r="E66" s="674"/>
      <c r="F66" s="674"/>
      <c r="G66" s="674"/>
      <c r="H66" s="674"/>
      <c r="I66" s="674"/>
      <c r="J66" s="674"/>
      <c r="K66" s="674"/>
      <c r="L66" s="674"/>
    </row>
    <row r="67" spans="1:16" x14ac:dyDescent="0.25">
      <c r="B67" s="674"/>
      <c r="C67" s="674"/>
      <c r="D67" s="674"/>
      <c r="E67" s="674"/>
      <c r="F67" s="674"/>
      <c r="G67" s="674"/>
      <c r="H67" s="674"/>
      <c r="I67" s="674"/>
      <c r="J67" s="674"/>
      <c r="K67" s="674"/>
      <c r="L67" s="674"/>
    </row>
    <row r="68" spans="1:16" x14ac:dyDescent="0.25">
      <c r="B68" s="674"/>
      <c r="C68" s="674"/>
      <c r="D68" s="674"/>
      <c r="E68" s="674"/>
      <c r="F68" s="674"/>
      <c r="G68" s="674"/>
      <c r="H68" s="674"/>
      <c r="I68" s="674"/>
      <c r="J68" s="674"/>
      <c r="K68" s="674"/>
      <c r="L68" s="674"/>
    </row>
    <row r="69" spans="1:16" x14ac:dyDescent="0.25">
      <c r="B69" s="672"/>
      <c r="C69" s="672"/>
      <c r="D69" s="672"/>
      <c r="E69" s="672"/>
      <c r="F69" s="672"/>
      <c r="G69" s="672"/>
      <c r="H69" s="674"/>
      <c r="I69" s="674"/>
      <c r="J69" s="674"/>
      <c r="K69" s="674"/>
      <c r="L69" s="674"/>
    </row>
    <row r="70" spans="1:16" x14ac:dyDescent="0.25">
      <c r="B70" s="665"/>
      <c r="C70" s="665"/>
      <c r="D70" s="665"/>
      <c r="E70" s="665"/>
      <c r="F70" s="665"/>
      <c r="G70" s="665"/>
      <c r="H70" s="665"/>
      <c r="I70" s="665"/>
      <c r="J70" s="665"/>
    </row>
    <row r="71" spans="1:16" x14ac:dyDescent="0.25">
      <c r="B71" s="665"/>
      <c r="C71" s="665"/>
      <c r="D71" s="665"/>
      <c r="E71" s="665"/>
      <c r="F71" s="665"/>
      <c r="G71" s="665"/>
      <c r="H71" s="665"/>
      <c r="I71" s="665"/>
      <c r="J71" s="665"/>
    </row>
    <row r="72" spans="1:16" s="680" customFormat="1" x14ac:dyDescent="0.25">
      <c r="B72" s="681"/>
      <c r="C72" s="681"/>
      <c r="D72" s="681"/>
      <c r="E72" s="681"/>
      <c r="F72" s="681"/>
      <c r="G72" s="681"/>
      <c r="H72" s="681"/>
      <c r="I72" s="681"/>
      <c r="J72" s="681"/>
      <c r="M72" s="646"/>
      <c r="N72" s="646"/>
      <c r="O72" s="646"/>
      <c r="P72" s="646"/>
    </row>
    <row r="73" spans="1:16" s="320" customFormat="1" x14ac:dyDescent="0.25">
      <c r="B73" s="668"/>
      <c r="C73" s="668"/>
      <c r="D73" s="668"/>
      <c r="E73" s="668"/>
      <c r="F73" s="668"/>
      <c r="G73" s="668"/>
      <c r="H73" s="668"/>
      <c r="I73" s="668"/>
      <c r="J73" s="668"/>
      <c r="M73" s="646"/>
      <c r="N73" s="646"/>
      <c r="O73" s="646"/>
      <c r="P73" s="646"/>
    </row>
    <row r="74" spans="1:16" s="320" customFormat="1" x14ac:dyDescent="0.25">
      <c r="B74" s="668"/>
      <c r="C74" s="668"/>
      <c r="D74" s="668"/>
      <c r="E74" s="668"/>
      <c r="F74" s="668"/>
      <c r="G74" s="668"/>
      <c r="H74" s="668"/>
      <c r="I74" s="668"/>
      <c r="J74" s="668"/>
      <c r="M74" s="646"/>
      <c r="N74" s="646"/>
      <c r="O74" s="646"/>
      <c r="P74" s="646"/>
    </row>
    <row r="75" spans="1:16" s="320" customFormat="1" x14ac:dyDescent="0.25">
      <c r="B75" s="668"/>
      <c r="C75" s="668"/>
      <c r="D75" s="668"/>
      <c r="E75" s="668"/>
      <c r="F75" s="668"/>
      <c r="G75" s="668"/>
      <c r="H75" s="668"/>
      <c r="I75" s="668"/>
      <c r="J75" s="668"/>
      <c r="M75" s="646"/>
      <c r="N75" s="646"/>
      <c r="O75" s="646"/>
      <c r="P75" s="646"/>
    </row>
    <row r="76" spans="1:16" s="320" customFormat="1" x14ac:dyDescent="0.25">
      <c r="B76" s="668"/>
      <c r="C76" s="668"/>
      <c r="D76" s="668"/>
      <c r="E76" s="668"/>
      <c r="F76" s="668"/>
      <c r="G76" s="668"/>
      <c r="H76" s="668"/>
      <c r="I76" s="668"/>
      <c r="J76" s="668"/>
      <c r="M76" s="646"/>
      <c r="N76" s="646"/>
      <c r="O76" s="646"/>
      <c r="P76" s="646"/>
    </row>
    <row r="77" spans="1:16" s="320" customFormat="1" x14ac:dyDescent="0.25">
      <c r="B77" s="668"/>
      <c r="C77" s="668"/>
      <c r="D77" s="668"/>
      <c r="E77" s="668"/>
      <c r="F77" s="668"/>
      <c r="G77" s="668"/>
      <c r="H77" s="668"/>
      <c r="I77" s="668"/>
      <c r="J77" s="668"/>
      <c r="M77" s="646"/>
      <c r="N77" s="646"/>
      <c r="O77" s="646"/>
      <c r="P77" s="646"/>
    </row>
    <row r="78" spans="1:16" s="320" customFormat="1" x14ac:dyDescent="0.25">
      <c r="B78" s="668"/>
      <c r="C78" s="668"/>
      <c r="D78" s="668"/>
      <c r="E78" s="668"/>
      <c r="F78" s="668"/>
      <c r="G78" s="668"/>
      <c r="H78" s="668"/>
      <c r="I78" s="668"/>
      <c r="J78" s="668"/>
      <c r="M78" s="646"/>
      <c r="N78" s="646"/>
      <c r="O78" s="646"/>
      <c r="P78" s="646"/>
    </row>
    <row r="79" spans="1:16" s="320" customFormat="1" x14ac:dyDescent="0.25">
      <c r="A79" s="675"/>
      <c r="B79" s="666"/>
      <c r="C79" s="666"/>
      <c r="D79" s="666"/>
      <c r="E79" s="666"/>
      <c r="F79" s="666"/>
      <c r="G79" s="666"/>
      <c r="H79" s="666"/>
      <c r="I79" s="666"/>
      <c r="J79" s="666"/>
      <c r="K79" s="666"/>
      <c r="L79" s="666"/>
      <c r="M79" s="646"/>
      <c r="N79" s="646"/>
      <c r="O79" s="646"/>
      <c r="P79" s="646"/>
    </row>
    <row r="80" spans="1:16" ht="18" x14ac:dyDescent="0.4">
      <c r="A80" s="675"/>
      <c r="B80" s="682"/>
      <c r="C80" s="682"/>
      <c r="D80" s="682"/>
      <c r="E80" s="682"/>
      <c r="F80" s="682"/>
      <c r="G80" s="682"/>
      <c r="H80" s="682"/>
      <c r="I80" s="682"/>
      <c r="J80" s="682"/>
      <c r="K80" s="682"/>
      <c r="L80" s="682"/>
    </row>
    <row r="81" spans="1:12" x14ac:dyDescent="0.25">
      <c r="B81" s="666"/>
      <c r="C81" s="666"/>
      <c r="D81" s="666"/>
      <c r="E81" s="666"/>
      <c r="F81" s="666"/>
      <c r="G81" s="666"/>
      <c r="H81" s="666"/>
      <c r="I81" s="666"/>
      <c r="J81" s="666"/>
      <c r="K81" s="666"/>
      <c r="L81" s="666"/>
    </row>
    <row r="82" spans="1:12" x14ac:dyDescent="0.25">
      <c r="B82" s="665"/>
      <c r="C82" s="665"/>
      <c r="D82" s="665"/>
      <c r="E82" s="665"/>
      <c r="F82" s="665"/>
      <c r="G82" s="665"/>
      <c r="H82" s="665"/>
      <c r="I82" s="665"/>
      <c r="J82" s="665"/>
    </row>
    <row r="83" spans="1:12" x14ac:dyDescent="0.25">
      <c r="A83" s="683"/>
      <c r="B83" s="665"/>
      <c r="C83" s="665"/>
      <c r="D83" s="665"/>
      <c r="E83" s="665"/>
      <c r="F83" s="665"/>
      <c r="G83" s="665"/>
      <c r="H83" s="665"/>
      <c r="I83" s="665"/>
      <c r="J83" s="665"/>
    </row>
    <row r="84" spans="1:12" x14ac:dyDescent="0.25">
      <c r="A84" s="675"/>
      <c r="B84" s="666"/>
      <c r="C84" s="666"/>
      <c r="D84" s="666"/>
      <c r="E84" s="666"/>
      <c r="F84" s="666"/>
      <c r="G84" s="666"/>
      <c r="H84" s="666"/>
      <c r="I84" s="666"/>
      <c r="J84" s="666"/>
      <c r="K84" s="666"/>
      <c r="L84" s="666"/>
    </row>
    <row r="85" spans="1:12" ht="18" x14ac:dyDescent="0.4">
      <c r="A85" s="675"/>
      <c r="B85" s="682"/>
      <c r="C85" s="682"/>
      <c r="D85" s="682"/>
      <c r="E85" s="682"/>
      <c r="F85" s="682"/>
      <c r="G85" s="682"/>
      <c r="H85" s="682"/>
      <c r="I85" s="682"/>
      <c r="J85" s="682"/>
      <c r="K85" s="682"/>
      <c r="L85" s="682"/>
    </row>
    <row r="86" spans="1:12" x14ac:dyDescent="0.25">
      <c r="B86" s="666"/>
      <c r="C86" s="666"/>
      <c r="D86" s="666"/>
      <c r="E86" s="666"/>
      <c r="F86" s="666"/>
      <c r="G86" s="666"/>
      <c r="H86" s="666"/>
      <c r="I86" s="666"/>
      <c r="J86" s="666"/>
      <c r="K86" s="666"/>
      <c r="L86" s="666"/>
    </row>
    <row r="87" spans="1:12" x14ac:dyDescent="0.25">
      <c r="B87" s="665"/>
      <c r="C87" s="665"/>
      <c r="D87" s="665"/>
      <c r="E87" s="665"/>
      <c r="F87" s="665"/>
      <c r="G87" s="665"/>
      <c r="H87" s="665"/>
      <c r="I87" s="665"/>
      <c r="J87" s="665"/>
    </row>
    <row r="88" spans="1:12" x14ac:dyDescent="0.25">
      <c r="B88" s="666"/>
      <c r="C88" s="666"/>
      <c r="D88" s="666"/>
      <c r="E88" s="666"/>
      <c r="F88" s="666"/>
      <c r="G88" s="666"/>
      <c r="H88" s="666"/>
      <c r="I88" s="666"/>
      <c r="J88" s="666"/>
      <c r="K88" s="666"/>
      <c r="L88" s="666"/>
    </row>
    <row r="89" spans="1:12" x14ac:dyDescent="0.25">
      <c r="B89" s="666"/>
      <c r="C89" s="666"/>
      <c r="D89" s="666"/>
      <c r="E89" s="666"/>
      <c r="F89" s="666"/>
      <c r="G89" s="666"/>
      <c r="H89" s="666"/>
      <c r="I89" s="666"/>
      <c r="J89" s="666"/>
      <c r="K89" s="666"/>
      <c r="L89" s="666"/>
    </row>
    <row r="90" spans="1:12" ht="18" x14ac:dyDescent="0.4">
      <c r="B90" s="682"/>
      <c r="C90" s="682"/>
      <c r="D90" s="682"/>
      <c r="E90" s="682"/>
      <c r="F90" s="682"/>
      <c r="G90" s="682"/>
      <c r="H90" s="682"/>
      <c r="I90" s="682"/>
      <c r="J90" s="682"/>
      <c r="K90" s="682"/>
      <c r="L90" s="682"/>
    </row>
    <row r="91" spans="1:12" x14ac:dyDescent="0.25">
      <c r="B91" s="666"/>
      <c r="C91" s="666"/>
      <c r="D91" s="666"/>
      <c r="E91" s="666"/>
      <c r="F91" s="666"/>
      <c r="G91" s="666"/>
      <c r="H91" s="666"/>
      <c r="I91" s="666"/>
      <c r="J91" s="666"/>
      <c r="K91" s="666"/>
      <c r="L91" s="666"/>
    </row>
    <row r="92" spans="1:12" x14ac:dyDescent="0.25">
      <c r="B92" s="665"/>
      <c r="C92" s="665"/>
      <c r="D92" s="665"/>
      <c r="E92" s="665"/>
      <c r="F92" s="665"/>
      <c r="G92" s="665"/>
      <c r="H92" s="665"/>
      <c r="I92" s="665"/>
      <c r="J92" s="665"/>
    </row>
    <row r="93" spans="1:12" x14ac:dyDescent="0.25">
      <c r="B93" s="666"/>
      <c r="C93" s="666"/>
      <c r="D93" s="666"/>
      <c r="E93" s="666"/>
      <c r="F93" s="666"/>
      <c r="G93" s="666"/>
      <c r="H93" s="666"/>
      <c r="I93" s="666"/>
      <c r="J93" s="666"/>
      <c r="K93" s="666"/>
      <c r="L93" s="666"/>
    </row>
    <row r="94" spans="1:12" x14ac:dyDescent="0.25">
      <c r="B94" s="666"/>
      <c r="C94" s="666"/>
      <c r="D94" s="666"/>
      <c r="E94" s="666"/>
      <c r="F94" s="666"/>
      <c r="G94" s="666"/>
      <c r="H94" s="666"/>
      <c r="I94" s="666"/>
      <c r="J94" s="666"/>
      <c r="K94" s="666"/>
      <c r="L94" s="666"/>
    </row>
    <row r="95" spans="1:12" x14ac:dyDescent="0.25">
      <c r="B95" s="674"/>
      <c r="C95" s="674"/>
      <c r="D95" s="674"/>
      <c r="E95" s="674"/>
      <c r="F95" s="674"/>
      <c r="G95" s="674"/>
      <c r="H95" s="674"/>
      <c r="I95" s="674"/>
      <c r="J95" s="674"/>
      <c r="K95" s="674"/>
      <c r="L95" s="674"/>
    </row>
    <row r="96" spans="1:12" ht="18" x14ac:dyDescent="0.4">
      <c r="B96" s="676"/>
      <c r="C96" s="676"/>
      <c r="D96" s="676"/>
      <c r="E96" s="676"/>
      <c r="F96" s="676"/>
      <c r="G96" s="676"/>
      <c r="H96" s="676"/>
      <c r="I96" s="676"/>
      <c r="J96" s="676"/>
      <c r="K96" s="676"/>
      <c r="L96" s="676"/>
    </row>
    <row r="97" spans="1:12" x14ac:dyDescent="0.25">
      <c r="B97" s="666"/>
      <c r="C97" s="666"/>
      <c r="D97" s="666"/>
      <c r="E97" s="666"/>
      <c r="F97" s="666"/>
      <c r="G97" s="666"/>
      <c r="H97" s="666"/>
      <c r="I97" s="666"/>
      <c r="J97" s="666"/>
      <c r="K97" s="666"/>
      <c r="L97" s="666"/>
    </row>
    <row r="98" spans="1:12" x14ac:dyDescent="0.25">
      <c r="B98" s="665"/>
      <c r="C98" s="665"/>
      <c r="D98" s="665"/>
      <c r="E98" s="665"/>
      <c r="F98" s="665"/>
      <c r="G98" s="665"/>
      <c r="H98" s="665"/>
      <c r="I98" s="665"/>
      <c r="J98" s="665"/>
    </row>
    <row r="99" spans="1:12" x14ac:dyDescent="0.25">
      <c r="B99" s="666"/>
      <c r="C99" s="666"/>
      <c r="D99" s="666"/>
      <c r="E99" s="666"/>
      <c r="F99" s="666"/>
      <c r="G99" s="666"/>
      <c r="H99" s="666"/>
      <c r="I99" s="666"/>
      <c r="J99" s="666"/>
      <c r="K99" s="666"/>
      <c r="L99" s="666"/>
    </row>
    <row r="100" spans="1:12" x14ac:dyDescent="0.25">
      <c r="B100" s="665"/>
      <c r="C100" s="665"/>
      <c r="D100" s="665"/>
      <c r="E100" s="665"/>
      <c r="F100" s="665"/>
      <c r="G100" s="665"/>
      <c r="H100" s="665"/>
      <c r="I100" s="665"/>
      <c r="J100" s="665"/>
    </row>
    <row r="101" spans="1:12" x14ac:dyDescent="0.25">
      <c r="B101" s="666"/>
      <c r="C101" s="666"/>
      <c r="D101" s="666"/>
      <c r="E101" s="666"/>
      <c r="F101" s="666"/>
      <c r="G101" s="666"/>
      <c r="H101" s="666"/>
      <c r="I101" s="666"/>
      <c r="J101" s="666"/>
      <c r="K101" s="666"/>
      <c r="L101" s="666"/>
    </row>
    <row r="103" spans="1:12" x14ac:dyDescent="0.25">
      <c r="B103" s="666"/>
      <c r="C103" s="666"/>
      <c r="D103" s="666"/>
      <c r="E103" s="666"/>
      <c r="F103" s="666"/>
      <c r="G103" s="666"/>
      <c r="H103" s="666"/>
      <c r="I103" s="666"/>
      <c r="J103" s="666"/>
      <c r="K103" s="666"/>
      <c r="L103" s="666"/>
    </row>
    <row r="104" spans="1:12" x14ac:dyDescent="0.25">
      <c r="A104" s="675"/>
      <c r="B104" s="666"/>
      <c r="C104" s="666"/>
      <c r="D104" s="666"/>
      <c r="E104" s="666"/>
      <c r="F104" s="666"/>
      <c r="G104" s="666"/>
      <c r="H104" s="666"/>
      <c r="I104" s="666"/>
      <c r="J104" s="666"/>
      <c r="K104" s="666"/>
      <c r="L104" s="666"/>
    </row>
    <row r="105" spans="1:12" ht="18" x14ac:dyDescent="0.4">
      <c r="A105" s="675"/>
      <c r="B105" s="682"/>
      <c r="C105" s="682"/>
      <c r="D105" s="682"/>
      <c r="E105" s="682"/>
      <c r="F105" s="682"/>
      <c r="G105" s="682"/>
      <c r="H105" s="682"/>
      <c r="I105" s="682"/>
      <c r="J105" s="682"/>
      <c r="K105" s="682"/>
      <c r="L105" s="682"/>
    </row>
    <row r="106" spans="1:12" x14ac:dyDescent="0.25">
      <c r="B106" s="666"/>
      <c r="C106" s="666"/>
      <c r="D106" s="666"/>
      <c r="E106" s="666"/>
      <c r="F106" s="666"/>
      <c r="G106" s="666"/>
      <c r="H106" s="666"/>
      <c r="I106" s="666"/>
      <c r="J106" s="666"/>
      <c r="K106" s="666"/>
      <c r="L106" s="666"/>
    </row>
    <row r="108" spans="1:12" x14ac:dyDescent="0.25">
      <c r="B108" s="634"/>
      <c r="C108" s="634"/>
      <c r="D108" s="634"/>
      <c r="E108" s="634"/>
      <c r="F108" s="634"/>
      <c r="G108" s="634"/>
      <c r="H108" s="634"/>
      <c r="I108" s="634"/>
      <c r="J108" s="634"/>
      <c r="K108" s="634"/>
      <c r="L108" s="634"/>
    </row>
    <row r="110" spans="1:12" x14ac:dyDescent="0.25">
      <c r="B110" s="666"/>
      <c r="C110" s="666"/>
      <c r="D110" s="666"/>
      <c r="E110" s="666"/>
      <c r="F110" s="666"/>
      <c r="G110" s="666"/>
      <c r="H110" s="666"/>
      <c r="I110" s="666"/>
      <c r="J110" s="666"/>
      <c r="K110" s="666"/>
      <c r="L110" s="666"/>
    </row>
    <row r="112" spans="1:12" x14ac:dyDescent="0.25">
      <c r="B112" s="666"/>
      <c r="C112" s="666"/>
      <c r="D112" s="666"/>
      <c r="E112" s="666"/>
      <c r="F112" s="666"/>
      <c r="G112" s="666"/>
      <c r="H112" s="666"/>
      <c r="I112" s="666"/>
      <c r="J112" s="666"/>
      <c r="K112" s="666"/>
      <c r="L112" s="666"/>
    </row>
    <row r="114" spans="2:12" x14ac:dyDescent="0.25">
      <c r="B114" s="666"/>
      <c r="C114" s="666"/>
      <c r="D114" s="666"/>
      <c r="E114" s="666"/>
      <c r="F114" s="666"/>
      <c r="G114" s="666"/>
      <c r="H114" s="666"/>
      <c r="I114" s="666"/>
      <c r="J114" s="666"/>
      <c r="K114" s="666"/>
      <c r="L114" s="666"/>
    </row>
    <row r="116" spans="2:12" ht="18" x14ac:dyDescent="0.4">
      <c r="B116" s="684"/>
      <c r="C116" s="684"/>
      <c r="D116" s="684"/>
      <c r="E116" s="684"/>
      <c r="F116" s="684"/>
      <c r="G116" s="684"/>
      <c r="H116" s="684"/>
      <c r="I116" s="684"/>
      <c r="J116" s="684"/>
      <c r="K116" s="684"/>
      <c r="L116" s="684"/>
    </row>
    <row r="121" spans="2:12" x14ac:dyDescent="0.25">
      <c r="B121" s="634"/>
      <c r="C121" s="634"/>
      <c r="D121" s="634"/>
      <c r="E121" s="634"/>
      <c r="F121" s="634"/>
      <c r="G121" s="634"/>
      <c r="H121" s="634"/>
      <c r="I121" s="634"/>
      <c r="J121" s="634"/>
      <c r="K121" s="634"/>
      <c r="L121" s="634"/>
    </row>
    <row r="122" spans="2:12" x14ac:dyDescent="0.25">
      <c r="B122" s="634"/>
      <c r="C122" s="634"/>
      <c r="D122" s="634"/>
      <c r="E122" s="634"/>
      <c r="F122" s="634"/>
      <c r="G122" s="634"/>
      <c r="H122" s="634"/>
      <c r="I122" s="634"/>
      <c r="J122" s="634"/>
      <c r="K122" s="634"/>
      <c r="L122" s="634"/>
    </row>
  </sheetData>
  <printOptions horizontalCentered="1"/>
  <pageMargins left="0.75" right="0.75" top="1.75" bottom="0.5" header="0.75" footer="0.25"/>
  <pageSetup scale="61" orientation="landscape" r:id="rId1"/>
  <headerFooter>
    <oddHeader xml:space="preserve">&amp;C&amp;"Times New Roman,Bold"&amp;12Louisville Gas and Electric Company
Case No. 2016-00371
Average Bill Comparison at Current and Proposed Gas Rates 
Current Rate vs. Proposed Rates
Gas Operations
</oddHeader>
  </headerFooter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39997558519241921"/>
    <pageSetUpPr fitToPage="1"/>
  </sheetPr>
  <dimension ref="A1:P45"/>
  <sheetViews>
    <sheetView tabSelected="1" workbookViewId="0"/>
  </sheetViews>
  <sheetFormatPr defaultColWidth="9.140625" defaultRowHeight="15.75" x14ac:dyDescent="0.25"/>
  <cols>
    <col min="1" max="1" width="63.42578125" style="646" customWidth="1"/>
    <col min="2" max="2" width="16.85546875" style="646" bestFit="1" customWidth="1"/>
    <col min="3" max="3" width="16.85546875" style="646" customWidth="1"/>
    <col min="4" max="4" width="18.42578125" style="646" customWidth="1"/>
    <col min="5" max="5" width="16.42578125" style="646" customWidth="1"/>
    <col min="6" max="9" width="17.7109375" style="646" customWidth="1"/>
    <col min="10" max="10" width="17.42578125" style="646" bestFit="1" customWidth="1"/>
    <col min="11" max="11" width="9.42578125" style="646" bestFit="1" customWidth="1"/>
    <col min="12" max="12" width="9.28515625" style="646" bestFit="1" customWidth="1"/>
    <col min="13" max="13" width="20.5703125" style="646" customWidth="1"/>
    <col min="14" max="14" width="9.140625" style="646"/>
    <col min="15" max="15" width="17.85546875" style="646" customWidth="1"/>
    <col min="16" max="16" width="9.28515625" style="646" bestFit="1" customWidth="1"/>
    <col min="17" max="17" width="9.140625" style="646"/>
    <col min="18" max="18" width="15.85546875" style="646" customWidth="1"/>
    <col min="19" max="19" width="9.28515625" style="646" bestFit="1" customWidth="1"/>
    <col min="20" max="20" width="17.5703125" style="646" bestFit="1" customWidth="1"/>
    <col min="21" max="21" width="15.42578125" style="646" bestFit="1" customWidth="1"/>
    <col min="22" max="22" width="12.7109375" style="646" bestFit="1" customWidth="1"/>
    <col min="23" max="16384" width="9.140625" style="646"/>
  </cols>
  <sheetData>
    <row r="1" spans="1:15" x14ac:dyDescent="0.25">
      <c r="A1" s="692" t="s">
        <v>553</v>
      </c>
      <c r="B1" s="693"/>
      <c r="C1" s="693"/>
      <c r="D1" s="693"/>
      <c r="E1" s="693"/>
      <c r="G1" s="694"/>
      <c r="H1" s="694" t="s">
        <v>777</v>
      </c>
      <c r="I1" s="693"/>
      <c r="J1" s="685"/>
      <c r="K1" s="695"/>
      <c r="L1" s="695"/>
      <c r="M1" s="695"/>
      <c r="N1" s="695"/>
      <c r="O1" s="695"/>
    </row>
    <row r="2" spans="1:15" x14ac:dyDescent="0.25">
      <c r="A2" s="696" t="s">
        <v>450</v>
      </c>
      <c r="B2" s="693"/>
      <c r="C2" s="693"/>
      <c r="D2" s="693"/>
      <c r="E2" s="693"/>
      <c r="G2" s="694"/>
      <c r="H2" s="694" t="s">
        <v>724</v>
      </c>
      <c r="I2" s="693"/>
      <c r="J2" s="685"/>
    </row>
    <row r="3" spans="1:15" x14ac:dyDescent="0.25">
      <c r="A3" s="696" t="s">
        <v>451</v>
      </c>
      <c r="B3" s="693"/>
      <c r="C3" s="693"/>
      <c r="D3" s="693"/>
      <c r="E3" s="693"/>
      <c r="G3" s="697"/>
      <c r="H3" s="697"/>
      <c r="I3" s="693"/>
      <c r="J3" s="685"/>
    </row>
    <row r="4" spans="1:15" x14ac:dyDescent="0.25">
      <c r="A4" s="698"/>
      <c r="B4" s="693"/>
      <c r="C4" s="693"/>
      <c r="D4" s="693"/>
      <c r="E4" s="693"/>
      <c r="F4" s="693"/>
      <c r="G4" s="693"/>
      <c r="H4" s="693"/>
      <c r="I4" s="693"/>
      <c r="J4" s="693"/>
    </row>
    <row r="5" spans="1:15" x14ac:dyDescent="0.25">
      <c r="A5" s="685"/>
      <c r="B5" s="685"/>
      <c r="C5" s="685"/>
      <c r="D5" s="685"/>
      <c r="E5" s="685"/>
      <c r="F5" s="685"/>
      <c r="G5" s="685"/>
      <c r="H5" s="685"/>
      <c r="I5" s="685"/>
      <c r="J5" s="685"/>
    </row>
    <row r="6" spans="1:15" x14ac:dyDescent="0.25">
      <c r="A6" s="685"/>
      <c r="B6" s="685"/>
      <c r="C6" s="685"/>
      <c r="D6" s="685"/>
      <c r="E6" s="685"/>
      <c r="F6" s="685"/>
      <c r="G6" s="685"/>
      <c r="H6" s="685"/>
      <c r="I6" s="685"/>
      <c r="J6" s="685"/>
    </row>
    <row r="7" spans="1:15" x14ac:dyDescent="0.25">
      <c r="A7" s="686"/>
      <c r="B7" s="687"/>
      <c r="C7" s="687"/>
      <c r="D7" s="687"/>
      <c r="E7" s="687"/>
      <c r="F7" s="687" t="s">
        <v>206</v>
      </c>
      <c r="G7" s="687"/>
      <c r="H7" s="687"/>
      <c r="I7" s="685"/>
      <c r="J7" s="685"/>
    </row>
    <row r="8" spans="1:15" x14ac:dyDescent="0.25">
      <c r="A8" s="686"/>
      <c r="B8" s="687" t="s">
        <v>382</v>
      </c>
      <c r="C8" s="687" t="s">
        <v>456</v>
      </c>
      <c r="D8" s="687" t="s">
        <v>178</v>
      </c>
      <c r="E8" s="687" t="s">
        <v>180</v>
      </c>
      <c r="F8" s="687" t="s">
        <v>394</v>
      </c>
      <c r="G8" s="687" t="s">
        <v>772</v>
      </c>
      <c r="H8" s="687" t="s">
        <v>617</v>
      </c>
    </row>
    <row r="9" spans="1:15" ht="16.5" thickBot="1" x14ac:dyDescent="0.3">
      <c r="A9" s="688" t="s">
        <v>152</v>
      </c>
      <c r="B9" s="689" t="s">
        <v>148</v>
      </c>
      <c r="C9" s="689" t="s">
        <v>148</v>
      </c>
      <c r="D9" s="689" t="s">
        <v>148</v>
      </c>
      <c r="E9" s="689" t="s">
        <v>148</v>
      </c>
      <c r="F9" s="689" t="s">
        <v>148</v>
      </c>
      <c r="G9" s="689" t="s">
        <v>386</v>
      </c>
      <c r="H9" s="689" t="s">
        <v>395</v>
      </c>
      <c r="J9"/>
      <c r="K9"/>
      <c r="L9"/>
    </row>
    <row r="10" spans="1:15" x14ac:dyDescent="0.25">
      <c r="B10" s="725"/>
      <c r="C10" s="725"/>
      <c r="D10" s="725"/>
      <c r="E10" s="725"/>
      <c r="F10" s="725"/>
      <c r="G10" s="725"/>
      <c r="H10" s="725"/>
      <c r="J10"/>
      <c r="K10"/>
      <c r="L10"/>
    </row>
    <row r="11" spans="1:15" x14ac:dyDescent="0.25">
      <c r="A11" s="646" t="s">
        <v>388</v>
      </c>
      <c r="B11" s="741">
        <f ca="1">'Revenue Summary B'!L10</f>
        <v>104011081</v>
      </c>
      <c r="C11" s="741">
        <f ca="1">'Revenue Summary B'!I10</f>
        <v>23222068.37169949</v>
      </c>
      <c r="D11" s="741">
        <f ca="1">'Revenue Summary B'!E10</f>
        <v>84917418.250368789</v>
      </c>
      <c r="E11" s="741">
        <f ca="1">'Revenue Summary B'!G10</f>
        <v>2013223.6865790721</v>
      </c>
      <c r="F11" s="741">
        <f ca="1">SUM(B11:E11)</f>
        <v>214163791.30864736</v>
      </c>
      <c r="G11" s="730">
        <f ca="1">'Sch M-2.3 Pg. 2-9'!M33</f>
        <v>5215641.7458959818</v>
      </c>
      <c r="H11" s="742">
        <f ca="1">'Sch M-2.3 Pg. 2-9'!M34</f>
        <v>2.4353517996790284E-2</v>
      </c>
      <c r="J11"/>
      <c r="K11"/>
      <c r="L11"/>
    </row>
    <row r="12" spans="1:15" x14ac:dyDescent="0.25">
      <c r="B12" s="725"/>
      <c r="C12" s="725"/>
      <c r="D12" s="725"/>
      <c r="E12" s="725"/>
      <c r="F12" s="725"/>
      <c r="G12" s="730"/>
      <c r="H12" s="734"/>
      <c r="J12"/>
      <c r="K12"/>
      <c r="L12"/>
    </row>
    <row r="13" spans="1:15" x14ac:dyDescent="0.25">
      <c r="A13" s="646" t="s">
        <v>389</v>
      </c>
      <c r="B13" s="730">
        <f ca="1">'Revenue Summary B'!L14</f>
        <v>35389889.218562931</v>
      </c>
      <c r="C13" s="730">
        <f ca="1">'Revenue Summary B'!I14</f>
        <v>9960508.4727250375</v>
      </c>
      <c r="D13" s="730">
        <f ca="1">'Revenue Summary B'!E14</f>
        <v>43699222.094499528</v>
      </c>
      <c r="E13" s="730">
        <f ca="1">'Revenue Summary B'!G14</f>
        <v>1178151.7942125057</v>
      </c>
      <c r="F13" s="730">
        <f ca="1">SUM(B13:E13)</f>
        <v>90227771.579999998</v>
      </c>
      <c r="G13" s="730">
        <f ca="1">'Sch M-2.3 Pg. 2-9'!M80</f>
        <v>2197562.6451008469</v>
      </c>
      <c r="H13" s="734">
        <f ca="1">'Sch M-2.3 Pg. 2-9'!M81</f>
        <v>2.4355723372292189E-2</v>
      </c>
      <c r="J13"/>
      <c r="K13"/>
      <c r="L13"/>
    </row>
    <row r="14" spans="1:15" x14ac:dyDescent="0.25">
      <c r="B14" s="730"/>
      <c r="C14" s="730"/>
      <c r="D14" s="730"/>
      <c r="E14" s="730"/>
      <c r="F14" s="730"/>
      <c r="G14" s="730"/>
      <c r="H14" s="734"/>
      <c r="J14"/>
      <c r="K14"/>
      <c r="L14"/>
    </row>
    <row r="15" spans="1:15" x14ac:dyDescent="0.25">
      <c r="A15" s="646" t="s">
        <v>390</v>
      </c>
      <c r="B15" s="730">
        <f ca="1">'Revenue Summary B'!L16+'Revenue Summary B'!L17+'Revenue Summary B'!L18</f>
        <v>4572367.2424438652</v>
      </c>
      <c r="C15" s="730">
        <f ca="1">'Revenue Summary B'!I19</f>
        <v>1001477.2122162073</v>
      </c>
      <c r="D15" s="730">
        <f ca="1">'Revenue Summary B'!E19</f>
        <v>6139166.1253399272</v>
      </c>
      <c r="E15" s="730">
        <f ca="1">'Revenue Summary B'!G19</f>
        <v>0</v>
      </c>
      <c r="F15" s="730">
        <f ca="1">SUM(B15:E15)</f>
        <v>11713010.58</v>
      </c>
      <c r="G15" s="730">
        <f ca="1">'Sch M-2.3 Pg. 2-9'!M132</f>
        <v>-4.5535484608262777</v>
      </c>
      <c r="H15" s="734">
        <f ca="1">'Sch M-2.3 Pg. 2-9'!M133</f>
        <v>-3.8881962114161021E-7</v>
      </c>
      <c r="J15"/>
      <c r="K15"/>
      <c r="L15"/>
    </row>
    <row r="16" spans="1:15" x14ac:dyDescent="0.25">
      <c r="B16" s="730"/>
      <c r="C16" s="730"/>
      <c r="D16" s="730"/>
      <c r="E16" s="730"/>
      <c r="F16" s="730"/>
      <c r="G16" s="730"/>
      <c r="H16" s="734"/>
      <c r="J16"/>
      <c r="K16"/>
      <c r="L16"/>
    </row>
    <row r="17" spans="1:12" x14ac:dyDescent="0.25">
      <c r="A17" s="646" t="s">
        <v>608</v>
      </c>
      <c r="B17" s="730">
        <f ca="1">'Revenue Summary B'!L22</f>
        <v>7010</v>
      </c>
      <c r="C17" s="730">
        <f>'Revenue Summary B'!I2</f>
        <v>0</v>
      </c>
      <c r="D17" s="730">
        <f ca="1">'Revenue Summary B'!E22</f>
        <v>29.58996422013707</v>
      </c>
      <c r="E17" s="730">
        <f ca="1">'Revenue Summary B'!G22</f>
        <v>1.3341336732703244</v>
      </c>
      <c r="F17" s="730">
        <f ca="1">SUM(B17:E17)</f>
        <v>7040.9240978934076</v>
      </c>
      <c r="G17" s="736">
        <f ca="1">'Sch M-2.3 Pg. 2-9'!M300</f>
        <v>1288.0843199999981</v>
      </c>
      <c r="H17" s="743">
        <f ca="1">'Sch M-2.3 Pg. 2-9'!M301</f>
        <v>0.18293121238080332</v>
      </c>
      <c r="J17"/>
      <c r="K17"/>
      <c r="L17"/>
    </row>
    <row r="18" spans="1:12" x14ac:dyDescent="0.25">
      <c r="B18" s="730"/>
      <c r="C18" s="730"/>
      <c r="D18" s="730"/>
      <c r="E18" s="730"/>
      <c r="F18" s="730"/>
      <c r="G18" s="736"/>
      <c r="H18" s="743"/>
      <c r="J18"/>
      <c r="K18"/>
      <c r="L18"/>
    </row>
    <row r="19" spans="1:12" x14ac:dyDescent="0.25">
      <c r="A19" s="646" t="s">
        <v>391</v>
      </c>
      <c r="B19" s="730">
        <f ca="1">'Revenue Summary B'!L26</f>
        <v>311227.1161064675</v>
      </c>
      <c r="C19" s="730">
        <f ca="1">'Revenue Summary B'!I26</f>
        <v>250361.27633132337</v>
      </c>
      <c r="D19" s="730">
        <f ca="1">'Revenue Summary B'!E26</f>
        <v>504944.4958231686</v>
      </c>
      <c r="E19" s="730">
        <f ca="1">'Revenue Summary B'!G26</f>
        <v>10394.581739040445</v>
      </c>
      <c r="F19" s="736">
        <f ca="1">SUM(B19:E19)</f>
        <v>1076927.47</v>
      </c>
      <c r="G19" s="736">
        <f ca="1">'Sch M-2.3 Pg. 2-9'!M190</f>
        <v>-71561.000894171651</v>
      </c>
      <c r="H19" s="743">
        <f ca="1">'Sch M-2.3 Pg. 2-9'!M191</f>
        <v>-6.6449229807481039E-2</v>
      </c>
      <c r="J19"/>
      <c r="K19"/>
      <c r="L19"/>
    </row>
    <row r="20" spans="1:12" x14ac:dyDescent="0.25">
      <c r="B20" s="730"/>
      <c r="C20" s="730"/>
      <c r="D20" s="730"/>
      <c r="E20" s="730"/>
      <c r="F20" s="736"/>
      <c r="G20" s="736"/>
      <c r="H20" s="743"/>
      <c r="J20"/>
      <c r="K20"/>
      <c r="L20"/>
    </row>
    <row r="21" spans="1:12" x14ac:dyDescent="0.25">
      <c r="A21" s="646" t="s">
        <v>285</v>
      </c>
      <c r="B21" s="730">
        <f ca="1">'Revenue Summary B'!L28+'Revenue Summary B'!L29</f>
        <v>5841334.8177616652</v>
      </c>
      <c r="C21" s="730">
        <f>'Revenue Summary B'!I28</f>
        <v>0</v>
      </c>
      <c r="D21" s="730">
        <f>'Revenue Summary B'!E28</f>
        <v>0</v>
      </c>
      <c r="E21" s="730">
        <f>'Revenue Summary B'!G28</f>
        <v>1930120.2622383344</v>
      </c>
      <c r="F21" s="736">
        <f ca="1">SUM(B21:E21)</f>
        <v>7771455.0800000001</v>
      </c>
      <c r="G21" s="736">
        <f ca="1">'Sch M-2.3 Pg. 2-9'!M223</f>
        <v>188402.49356417172</v>
      </c>
      <c r="H21" s="743">
        <f ca="1">'Sch M-2.3 Pg. 2-9'!M224</f>
        <v>2.4438165268761487E-2</v>
      </c>
      <c r="J21"/>
      <c r="K21"/>
      <c r="L21"/>
    </row>
    <row r="22" spans="1:12" x14ac:dyDescent="0.25">
      <c r="B22" s="730"/>
      <c r="C22" s="730"/>
      <c r="D22" s="730"/>
      <c r="E22" s="730"/>
      <c r="F22" s="736"/>
      <c r="G22" s="736"/>
      <c r="H22" s="743"/>
      <c r="J22"/>
      <c r="K22"/>
      <c r="L22"/>
    </row>
    <row r="23" spans="1:12" x14ac:dyDescent="0.25">
      <c r="A23" s="646" t="s">
        <v>392</v>
      </c>
      <c r="B23" s="730">
        <f ca="1">'Revenue Summary B'!L32</f>
        <v>2291783.1082167318</v>
      </c>
      <c r="C23" s="730">
        <f>'Revenue Summary B'!I32</f>
        <v>0</v>
      </c>
      <c r="D23" s="730">
        <f>'Revenue Summary B'!E32</f>
        <v>630517.45178326871</v>
      </c>
      <c r="E23" s="730">
        <f>'Revenue Summary B'!G32</f>
        <v>0</v>
      </c>
      <c r="F23" s="736">
        <f ca="1">SUM(B23:E23)</f>
        <v>2922300.5600000005</v>
      </c>
      <c r="G23" s="744">
        <f ca="1">'Sch M-2.3 Pg. 2-9'!M266</f>
        <v>-70922.011408440769</v>
      </c>
      <c r="H23" s="742">
        <f ca="1">'Sch M-2.3 Pg. 2-9'!M267</f>
        <v>-2.426923923541963E-2</v>
      </c>
      <c r="J23"/>
      <c r="K23"/>
      <c r="L23"/>
    </row>
    <row r="24" spans="1:12" x14ac:dyDescent="0.25">
      <c r="B24" s="725"/>
      <c r="C24" s="725"/>
      <c r="D24" s="725"/>
      <c r="E24" s="725"/>
      <c r="F24" s="739"/>
      <c r="G24" s="725"/>
      <c r="H24" s="725"/>
      <c r="J24"/>
      <c r="K24"/>
      <c r="L24"/>
    </row>
    <row r="25" spans="1:12" x14ac:dyDescent="0.25">
      <c r="A25" s="646" t="s">
        <v>718</v>
      </c>
      <c r="B25" s="730">
        <f>'Revenue Summary B'!L36</f>
        <v>8547.119999999999</v>
      </c>
      <c r="C25" s="730">
        <f>'Revenue Summary B'!I36</f>
        <v>546.24</v>
      </c>
      <c r="D25" s="730">
        <f>'Revenue Summary B'!E36</f>
        <v>10099.84</v>
      </c>
      <c r="E25" s="730">
        <f>'Revenue Summary B'!G36</f>
        <v>16.079999999999998</v>
      </c>
      <c r="F25" s="730">
        <f>SUM(B25:E25)</f>
        <v>19209.28</v>
      </c>
      <c r="G25" s="730">
        <f>'Sch M-2.3 Pg. 2-9'!M335</f>
        <v>39639.149916198148</v>
      </c>
      <c r="H25" s="742">
        <f>'Sch M-2.3 Pg. 2-9'!M336</f>
        <v>2.0635416796568191</v>
      </c>
      <c r="J25"/>
      <c r="K25"/>
      <c r="L25"/>
    </row>
    <row r="26" spans="1:12" x14ac:dyDescent="0.25">
      <c r="B26" s="725"/>
      <c r="C26" s="725"/>
      <c r="D26" s="725"/>
      <c r="E26" s="725"/>
      <c r="F26" s="739"/>
      <c r="G26" s="725"/>
      <c r="H26" s="725"/>
    </row>
    <row r="27" spans="1:12" x14ac:dyDescent="0.25">
      <c r="A27" s="646" t="s">
        <v>398</v>
      </c>
      <c r="B27" s="745">
        <f t="shared" ref="B27:E27" ca="1" si="0">SUM(B10:B25)</f>
        <v>152433239.62309167</v>
      </c>
      <c r="C27" s="745">
        <f t="shared" ca="1" si="0"/>
        <v>34434961.572972059</v>
      </c>
      <c r="D27" s="745">
        <f t="shared" ca="1" si="0"/>
        <v>135901397.84777892</v>
      </c>
      <c r="E27" s="745">
        <f t="shared" ca="1" si="0"/>
        <v>5131907.7389026266</v>
      </c>
      <c r="F27" s="745">
        <f ca="1">SUM(F10:F25)</f>
        <v>327901506.78274524</v>
      </c>
      <c r="G27" s="745">
        <f ca="1">SUM(G11:G25)</f>
        <v>7500046.5529461261</v>
      </c>
      <c r="H27" s="746">
        <f ca="1">G27/F27</f>
        <v>2.2872863947878606E-2</v>
      </c>
    </row>
    <row r="28" spans="1:12" x14ac:dyDescent="0.25">
      <c r="B28" s="725"/>
      <c r="C28" s="725"/>
      <c r="D28" s="725"/>
      <c r="E28" s="725"/>
      <c r="F28" s="739"/>
      <c r="G28" s="747"/>
      <c r="H28" s="743"/>
    </row>
    <row r="29" spans="1:12" x14ac:dyDescent="0.25">
      <c r="A29" s="320" t="s">
        <v>449</v>
      </c>
      <c r="B29" s="748">
        <f>'Sch M-2.1-G'!B28</f>
        <v>1168995</v>
      </c>
      <c r="C29" s="739"/>
      <c r="D29" s="739"/>
      <c r="E29" s="739"/>
      <c r="F29" s="736">
        <f>B29</f>
        <v>1168995</v>
      </c>
      <c r="G29" s="747"/>
      <c r="H29" s="743"/>
    </row>
    <row r="30" spans="1:12" x14ac:dyDescent="0.25">
      <c r="A30" s="320" t="s">
        <v>399</v>
      </c>
      <c r="B30" s="736">
        <f>'Sch M-2.1-G'!B29+'Sch M-2.1-G'!B30+'Sch M-2.1-G'!B31</f>
        <v>477465</v>
      </c>
      <c r="C30" s="739"/>
      <c r="D30" s="739"/>
      <c r="E30" s="739"/>
      <c r="F30" s="736">
        <f>B30</f>
        <v>477465</v>
      </c>
      <c r="G30" s="747"/>
      <c r="H30" s="743"/>
    </row>
    <row r="31" spans="1:12" x14ac:dyDescent="0.25">
      <c r="A31" s="320"/>
      <c r="B31" s="739"/>
      <c r="C31" s="739"/>
      <c r="D31" s="739"/>
      <c r="E31" s="739"/>
      <c r="F31" s="739"/>
      <c r="G31" s="739"/>
      <c r="H31" s="739"/>
    </row>
    <row r="32" spans="1:12" x14ac:dyDescent="0.25">
      <c r="A32" s="320" t="s">
        <v>393</v>
      </c>
      <c r="B32" s="745">
        <f ca="1">+B27+B29+B30</f>
        <v>154079699.62309167</v>
      </c>
      <c r="C32" s="745">
        <f t="shared" ref="C32:F32" ca="1" si="1">+C27+C29+C30</f>
        <v>34434961.572972059</v>
      </c>
      <c r="D32" s="745">
        <f t="shared" ca="1" si="1"/>
        <v>135901397.84777892</v>
      </c>
      <c r="E32" s="745">
        <f t="shared" ca="1" si="1"/>
        <v>5131907.7389026266</v>
      </c>
      <c r="F32" s="745">
        <f t="shared" ca="1" si="1"/>
        <v>329547966.78274524</v>
      </c>
      <c r="G32" s="745">
        <f ca="1">+G27+G29+G30</f>
        <v>7500046.5529461261</v>
      </c>
      <c r="H32" s="746">
        <f ca="1">G32/F32</f>
        <v>2.2758588457292887E-2</v>
      </c>
    </row>
    <row r="33" spans="2:16" x14ac:dyDescent="0.25">
      <c r="F33" s="320"/>
      <c r="G33" s="320"/>
      <c r="H33" s="320"/>
    </row>
    <row r="35" spans="2:16" x14ac:dyDescent="0.25">
      <c r="B35" s="652"/>
      <c r="C35" s="652"/>
      <c r="D35" s="652"/>
      <c r="E35" s="652"/>
      <c r="F35" s="652"/>
      <c r="G35" s="652"/>
      <c r="H35" s="652"/>
    </row>
    <row r="39" spans="2:16" x14ac:dyDescent="0.25">
      <c r="I39" s="634"/>
    </row>
    <row r="43" spans="2:16" x14ac:dyDescent="0.25">
      <c r="J43" s="633"/>
      <c r="P43" s="691"/>
    </row>
    <row r="44" spans="2:16" x14ac:dyDescent="0.25">
      <c r="J44" s="633"/>
    </row>
    <row r="45" spans="2:16" x14ac:dyDescent="0.25">
      <c r="J45" s="633"/>
    </row>
  </sheetData>
  <printOptions horizontalCentered="1"/>
  <pageMargins left="0.75" right="0.75" top="1.75" bottom="0.5" header="0.75" footer="0.25"/>
  <pageSetup scale="65" orientation="landscape" r:id="rId1"/>
  <headerFooter>
    <oddHeader>&amp;C&amp;"Times New Roman,Bold"&amp;12Louisville Gas and Electric Company
Case No. 2016-00371
Summary of Proposed Gas Revenue Increase
Forecast Period Sales for the Twelve Months Ended June 30, 2018
Gas Operations</oddHeader>
    <oddFooter>&amp;R&amp;"-,Bold"&amp;14Stipulation Exhibit 6
Page &amp;P of 9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6" tint="0.39997558519241921"/>
  </sheetPr>
  <dimension ref="A1:R343"/>
  <sheetViews>
    <sheetView workbookViewId="0"/>
  </sheetViews>
  <sheetFormatPr defaultColWidth="9.140625" defaultRowHeight="15.75" x14ac:dyDescent="0.25"/>
  <cols>
    <col min="1" max="2" width="9.140625" style="320"/>
    <col min="3" max="3" width="5.85546875" style="193" customWidth="1"/>
    <col min="4" max="4" width="30.85546875" style="193" customWidth="1"/>
    <col min="5" max="5" width="15.85546875" style="193" customWidth="1"/>
    <col min="6" max="6" width="23.28515625" style="751" customWidth="1"/>
    <col min="7" max="7" width="20.85546875" style="751" customWidth="1"/>
    <col min="8" max="8" width="19.42578125" style="751" customWidth="1"/>
    <col min="9" max="9" width="18.85546875" style="193" customWidth="1"/>
    <col min="10" max="10" width="21" style="193" customWidth="1"/>
    <col min="11" max="11" width="4.28515625" style="193" customWidth="1"/>
    <col min="12" max="12" width="21" style="193" customWidth="1"/>
    <col min="13" max="13" width="22.5703125" style="320" customWidth="1"/>
    <col min="14" max="14" width="18.28515625" style="320" bestFit="1" customWidth="1"/>
    <col min="15" max="15" width="16.85546875" style="320" customWidth="1"/>
    <col min="16" max="16" width="16" style="320" customWidth="1"/>
    <col min="17" max="18" width="15.42578125" style="320" customWidth="1"/>
    <col min="19" max="16384" width="9.140625" style="320"/>
  </cols>
  <sheetData>
    <row r="1" spans="1:18" x14ac:dyDescent="0.25">
      <c r="C1" s="707" t="s">
        <v>553</v>
      </c>
      <c r="D1" s="321"/>
      <c r="E1" s="321"/>
      <c r="F1" s="749"/>
      <c r="G1" s="749"/>
      <c r="H1" s="749"/>
      <c r="I1" s="321"/>
      <c r="M1" s="694" t="s">
        <v>777</v>
      </c>
    </row>
    <row r="2" spans="1:18" x14ac:dyDescent="0.25">
      <c r="C2" s="709" t="s">
        <v>450</v>
      </c>
      <c r="D2" s="321"/>
      <c r="E2" s="321"/>
      <c r="F2" s="749"/>
      <c r="G2" s="749"/>
      <c r="H2" s="749"/>
      <c r="I2" s="321"/>
      <c r="M2" s="708" t="s">
        <v>725</v>
      </c>
    </row>
    <row r="3" spans="1:18" x14ac:dyDescent="0.25">
      <c r="C3" s="709" t="s">
        <v>451</v>
      </c>
      <c r="D3" s="321"/>
      <c r="E3" s="321"/>
      <c r="F3" s="749"/>
      <c r="G3" s="749"/>
      <c r="H3" s="749"/>
      <c r="I3" s="321"/>
      <c r="M3" s="710"/>
    </row>
    <row r="4" spans="1:18" x14ac:dyDescent="0.25">
      <c r="C4" s="711"/>
      <c r="D4" s="712"/>
      <c r="E4" s="713"/>
      <c r="F4" s="750"/>
      <c r="G4" s="726"/>
      <c r="H4" s="726"/>
      <c r="I4" s="827"/>
      <c r="J4" s="828"/>
      <c r="K4" s="714"/>
    </row>
    <row r="6" spans="1:18" ht="16.5" thickBot="1" x14ac:dyDescent="0.3">
      <c r="J6" s="194" t="s">
        <v>231</v>
      </c>
      <c r="K6" s="194"/>
      <c r="L6" s="829" t="s">
        <v>776</v>
      </c>
      <c r="M6" s="829"/>
      <c r="N6" s="646"/>
      <c r="O6" s="646"/>
      <c r="P6" s="646"/>
      <c r="Q6" s="646"/>
      <c r="R6" s="646"/>
    </row>
    <row r="7" spans="1:18" x14ac:dyDescent="0.25">
      <c r="J7" s="194" t="s">
        <v>148</v>
      </c>
      <c r="K7" s="194"/>
      <c r="L7" s="194"/>
      <c r="M7" s="646"/>
      <c r="N7" s="646"/>
      <c r="O7" s="646"/>
      <c r="P7" s="646"/>
      <c r="Q7" s="646"/>
      <c r="R7" s="646"/>
    </row>
    <row r="8" spans="1:18" x14ac:dyDescent="0.25">
      <c r="F8" s="248" t="s">
        <v>605</v>
      </c>
      <c r="G8" s="195"/>
      <c r="H8" s="195" t="s">
        <v>323</v>
      </c>
      <c r="I8" s="194" t="s">
        <v>265</v>
      </c>
      <c r="J8" s="196" t="s">
        <v>266</v>
      </c>
      <c r="K8" s="196"/>
      <c r="L8" s="590" t="s">
        <v>618</v>
      </c>
      <c r="M8" s="590" t="s">
        <v>231</v>
      </c>
      <c r="N8" s="646"/>
      <c r="O8" s="646"/>
      <c r="P8" s="646"/>
      <c r="Q8" s="646"/>
      <c r="R8" s="646"/>
    </row>
    <row r="9" spans="1:18" ht="16.5" thickBot="1" x14ac:dyDescent="0.3">
      <c r="C9" s="197" t="s">
        <v>152</v>
      </c>
      <c r="D9" s="197"/>
      <c r="E9" s="197"/>
      <c r="F9" s="727" t="s">
        <v>606</v>
      </c>
      <c r="G9" s="198" t="s">
        <v>147</v>
      </c>
      <c r="H9" s="198" t="s">
        <v>147</v>
      </c>
      <c r="I9" s="199" t="s">
        <v>267</v>
      </c>
      <c r="J9" s="199" t="s">
        <v>267</v>
      </c>
      <c r="K9" s="199"/>
      <c r="L9" s="645" t="s">
        <v>619</v>
      </c>
      <c r="M9" s="645" t="s">
        <v>148</v>
      </c>
      <c r="N9" s="646"/>
      <c r="O9" s="646"/>
      <c r="P9" s="646"/>
      <c r="Q9" s="646"/>
      <c r="R9" s="646"/>
    </row>
    <row r="10" spans="1:18" x14ac:dyDescent="0.25">
      <c r="C10" s="201"/>
      <c r="D10" s="201"/>
      <c r="E10" s="201"/>
      <c r="F10" s="752"/>
      <c r="G10" s="752"/>
      <c r="H10" s="752"/>
      <c r="I10" s="200"/>
      <c r="J10" s="200"/>
      <c r="K10" s="200"/>
      <c r="L10" s="646"/>
      <c r="M10" s="646"/>
      <c r="N10" s="646"/>
      <c r="O10" s="646"/>
      <c r="P10" s="646"/>
      <c r="Q10" s="646"/>
      <c r="R10" s="646"/>
    </row>
    <row r="11" spans="1:18" x14ac:dyDescent="0.25">
      <c r="C11" s="700" t="s">
        <v>268</v>
      </c>
      <c r="E11" s="203"/>
      <c r="F11" s="590"/>
      <c r="G11" s="590"/>
      <c r="L11" s="646"/>
      <c r="M11" s="646"/>
      <c r="N11" s="646"/>
      <c r="O11" s="646"/>
      <c r="P11" s="646"/>
      <c r="Q11" s="646"/>
      <c r="R11" s="646"/>
    </row>
    <row r="12" spans="1:18" x14ac:dyDescent="0.25">
      <c r="C12" s="203"/>
      <c r="E12" s="203"/>
      <c r="F12" s="590"/>
      <c r="G12" s="590"/>
      <c r="L12" s="646"/>
      <c r="M12" s="646"/>
      <c r="N12" s="646"/>
      <c r="O12" s="646"/>
      <c r="P12" s="646"/>
      <c r="Q12" s="646"/>
      <c r="R12" s="646"/>
    </row>
    <row r="13" spans="1:18" x14ac:dyDescent="0.25">
      <c r="A13" s="320" t="s">
        <v>125</v>
      </c>
      <c r="C13" s="203" t="s">
        <v>269</v>
      </c>
      <c r="E13" s="214"/>
      <c r="L13" s="646"/>
      <c r="M13" s="646"/>
      <c r="N13" s="646"/>
      <c r="O13" s="646"/>
      <c r="P13" s="646"/>
      <c r="Q13" s="646"/>
      <c r="R13" s="646"/>
    </row>
    <row r="14" spans="1:18" x14ac:dyDescent="0.25">
      <c r="C14" s="204"/>
      <c r="D14" s="204" t="s">
        <v>325</v>
      </c>
      <c r="E14" s="245"/>
      <c r="F14" s="753">
        <f ca="1">+'Summary SBR-Transport'!B6</f>
        <v>3556511</v>
      </c>
      <c r="G14" s="246"/>
      <c r="I14" s="205">
        <f>VLOOKUP($A$13,'Retail Rates'!$A$7:$L$34,6,FALSE)</f>
        <v>13.5</v>
      </c>
      <c r="J14" s="206">
        <f ca="1">+F14*I14</f>
        <v>48012898.5</v>
      </c>
      <c r="K14" s="206"/>
      <c r="L14" s="205">
        <v>16.350000000000001</v>
      </c>
      <c r="M14" s="206">
        <f ca="1">F14*L14</f>
        <v>58148954.850000001</v>
      </c>
      <c r="N14" s="646"/>
      <c r="O14" s="646"/>
      <c r="P14" s="646"/>
      <c r="Q14" s="646"/>
      <c r="R14" s="646"/>
    </row>
    <row r="15" spans="1:18" x14ac:dyDescent="0.25">
      <c r="L15" s="646"/>
      <c r="M15" s="646"/>
      <c r="N15" s="646"/>
      <c r="O15" s="646"/>
      <c r="P15" s="646"/>
      <c r="Q15" s="646"/>
      <c r="R15" s="646"/>
    </row>
    <row r="16" spans="1:18" x14ac:dyDescent="0.25">
      <c r="L16" s="646"/>
      <c r="M16" s="646"/>
      <c r="N16" s="646"/>
      <c r="O16" s="646"/>
      <c r="P16" s="646"/>
      <c r="Q16" s="646"/>
      <c r="R16" s="646"/>
    </row>
    <row r="17" spans="3:18" x14ac:dyDescent="0.25">
      <c r="D17" s="207" t="s">
        <v>0</v>
      </c>
      <c r="G17" s="753">
        <f>+'Summary SBR-Transport'!C6</f>
        <v>19516321.910371594</v>
      </c>
      <c r="I17" s="247">
        <f>VLOOKUP($A$13,'Retail Rates'!$A$7:$L$34,8,FALSE)*10</f>
        <v>2.8693</v>
      </c>
      <c r="J17" s="206">
        <f>+G17*I17</f>
        <v>55998182.457429215</v>
      </c>
      <c r="K17" s="206"/>
      <c r="L17" s="247">
        <v>3.6551</v>
      </c>
      <c r="M17" s="206">
        <f>G17*L17</f>
        <v>71334108.214599207</v>
      </c>
      <c r="N17" s="646"/>
      <c r="O17" s="646"/>
      <c r="P17" s="646"/>
      <c r="Q17" s="646"/>
      <c r="R17" s="646"/>
    </row>
    <row r="18" spans="3:18" x14ac:dyDescent="0.25">
      <c r="D18" s="207"/>
      <c r="G18" s="753"/>
      <c r="I18" s="247"/>
      <c r="J18" s="206"/>
      <c r="K18" s="206"/>
      <c r="L18" s="247"/>
      <c r="M18" s="206"/>
      <c r="N18" s="646"/>
      <c r="O18" s="646"/>
      <c r="P18" s="646"/>
      <c r="Q18" s="646"/>
      <c r="R18" s="646"/>
    </row>
    <row r="19" spans="3:18" x14ac:dyDescent="0.25">
      <c r="D19" s="203" t="s">
        <v>383</v>
      </c>
      <c r="G19" s="753"/>
      <c r="I19" s="247"/>
      <c r="J19" s="206">
        <f ca="1">SUM(J14:J17)</f>
        <v>104011080.95742922</v>
      </c>
      <c r="K19" s="206"/>
      <c r="L19" s="247"/>
      <c r="M19" s="206">
        <f ca="1">SUM(M14:M17)</f>
        <v>129483063.06459922</v>
      </c>
      <c r="N19" s="646"/>
      <c r="O19" s="646"/>
      <c r="P19" s="646"/>
      <c r="Q19" s="646"/>
      <c r="R19" s="646"/>
    </row>
    <row r="20" spans="3:18" x14ac:dyDescent="0.25">
      <c r="D20" s="207"/>
      <c r="G20" s="753"/>
      <c r="I20" s="247"/>
      <c r="J20" s="206"/>
      <c r="K20" s="206"/>
      <c r="L20" s="247"/>
      <c r="M20" s="206"/>
      <c r="N20" s="646"/>
      <c r="O20" s="646"/>
      <c r="P20" s="646"/>
      <c r="Q20" s="646"/>
      <c r="R20" s="646"/>
    </row>
    <row r="21" spans="3:18" x14ac:dyDescent="0.25">
      <c r="D21" s="717" t="s">
        <v>716</v>
      </c>
      <c r="G21" s="753"/>
      <c r="I21" s="718">
        <f ca="1">'Revenue Summary B'!N10</f>
        <v>0.99999999959070918</v>
      </c>
      <c r="J21" s="206"/>
      <c r="K21" s="206"/>
      <c r="L21" s="718">
        <f ca="1">I21</f>
        <v>0.99999999959070918</v>
      </c>
      <c r="M21" s="206"/>
      <c r="N21" s="646"/>
      <c r="O21" s="646"/>
      <c r="P21" s="646"/>
      <c r="Q21" s="646"/>
      <c r="R21" s="646"/>
    </row>
    <row r="22" spans="3:18" x14ac:dyDescent="0.25">
      <c r="L22" s="646"/>
      <c r="M22" s="646"/>
      <c r="N22" s="646"/>
      <c r="O22" s="646"/>
      <c r="P22" s="646"/>
      <c r="Q22" s="646"/>
      <c r="R22" s="646"/>
    </row>
    <row r="23" spans="3:18" x14ac:dyDescent="0.25">
      <c r="D23" s="203" t="s">
        <v>717</v>
      </c>
      <c r="G23" s="753"/>
      <c r="J23" s="347">
        <f ca="1">J19/I21</f>
        <v>104011081</v>
      </c>
      <c r="K23" s="347"/>
      <c r="L23" s="646"/>
      <c r="M23" s="347">
        <f ca="1">M19/L21</f>
        <v>129483063.11759545</v>
      </c>
      <c r="N23" s="646"/>
      <c r="O23" s="646"/>
      <c r="P23" s="646"/>
      <c r="Q23" s="646"/>
      <c r="R23" s="646"/>
    </row>
    <row r="24" spans="3:18" x14ac:dyDescent="0.25">
      <c r="G24" s="754"/>
      <c r="L24" s="646"/>
      <c r="M24" s="646"/>
      <c r="N24" s="646"/>
      <c r="O24" s="646"/>
      <c r="P24" s="646"/>
      <c r="Q24" s="646"/>
      <c r="R24" s="646"/>
    </row>
    <row r="25" spans="3:18" x14ac:dyDescent="0.25">
      <c r="D25" s="207" t="s">
        <v>452</v>
      </c>
      <c r="J25" s="206">
        <f ca="1">SUMIF('12-MO Forecast Summary'!$E$6:$E$18,'Sch M-2.3 Pg. 2-9'!$A$13,'12-MO Forecast Summary'!$U$6:$U$18)</f>
        <v>84917418.250368789</v>
      </c>
      <c r="K25" s="206"/>
      <c r="L25" s="646"/>
      <c r="M25" s="206">
        <f ca="1">J25</f>
        <v>84917418.250368789</v>
      </c>
      <c r="N25" s="646"/>
      <c r="O25" s="646"/>
      <c r="P25" s="646"/>
      <c r="Q25" s="646"/>
      <c r="R25" s="646"/>
    </row>
    <row r="26" spans="3:18" x14ac:dyDescent="0.25">
      <c r="C26" s="320"/>
      <c r="D26" s="207" t="s">
        <v>453</v>
      </c>
      <c r="E26" s="320"/>
      <c r="F26" s="739"/>
      <c r="G26" s="739"/>
      <c r="H26" s="739"/>
      <c r="I26" s="320"/>
      <c r="J26" s="206">
        <f ca="1">SUMIF('12-MO Forecast Summary'!$E$6:$E$18,'Sch M-2.3 Pg. 2-9'!$A$13,'12-MO Forecast Summary'!$V$6:$V$18)</f>
        <v>2013223.6865790721</v>
      </c>
      <c r="K26" s="206"/>
      <c r="L26" s="646"/>
      <c r="M26" s="206">
        <f ca="1">J26</f>
        <v>2013223.6865790721</v>
      </c>
      <c r="N26" s="646"/>
      <c r="O26" s="646"/>
      <c r="P26" s="646"/>
      <c r="Q26" s="646"/>
      <c r="R26" s="646"/>
    </row>
    <row r="27" spans="3:18" x14ac:dyDescent="0.25">
      <c r="D27" s="207" t="s">
        <v>415</v>
      </c>
      <c r="E27" s="320"/>
      <c r="F27" s="739"/>
      <c r="G27" s="739"/>
      <c r="H27" s="739"/>
      <c r="I27" s="320"/>
      <c r="J27" s="206">
        <f ca="1">SUMIF('12-MO Forecast Summary'!$E$6:$E$18,'Sch M-2.3 Pg. 2-9'!$A$13,'12-MO Forecast Summary'!$W$6:$W$18)</f>
        <v>23222068.37169949</v>
      </c>
      <c r="K27" s="206"/>
      <c r="L27" s="646"/>
      <c r="M27" s="206">
        <v>2965728</v>
      </c>
      <c r="N27" s="646"/>
      <c r="O27" s="646"/>
      <c r="P27" s="646"/>
      <c r="Q27" s="646"/>
      <c r="R27" s="646"/>
    </row>
    <row r="28" spans="3:18" x14ac:dyDescent="0.25">
      <c r="D28" s="207"/>
      <c r="E28" s="320"/>
      <c r="F28" s="739"/>
      <c r="G28" s="739"/>
      <c r="H28" s="739"/>
      <c r="I28" s="320"/>
      <c r="J28" s="218"/>
      <c r="K28" s="218"/>
      <c r="L28" s="646"/>
      <c r="M28" s="646"/>
      <c r="N28" s="646"/>
      <c r="O28" s="646"/>
      <c r="P28" s="646"/>
      <c r="Q28" s="646"/>
      <c r="R28" s="646"/>
    </row>
    <row r="29" spans="3:18" x14ac:dyDescent="0.25">
      <c r="D29" s="320"/>
      <c r="E29" s="320"/>
      <c r="F29" s="739"/>
      <c r="G29" s="739"/>
      <c r="H29" s="739"/>
      <c r="I29" s="320"/>
      <c r="J29" s="320"/>
      <c r="K29" s="320"/>
      <c r="L29" s="646"/>
      <c r="M29" s="646"/>
      <c r="N29" s="646"/>
      <c r="O29" s="646"/>
      <c r="P29" s="646"/>
      <c r="Q29" s="646"/>
      <c r="R29" s="646"/>
    </row>
    <row r="30" spans="3:18" x14ac:dyDescent="0.25">
      <c r="L30" s="646"/>
      <c r="M30" s="646"/>
      <c r="N30" s="646"/>
      <c r="O30" s="646"/>
      <c r="P30" s="646"/>
      <c r="Q30" s="646"/>
      <c r="R30" s="646"/>
    </row>
    <row r="31" spans="3:18" ht="16.5" thickBot="1" x14ac:dyDescent="0.3">
      <c r="C31" s="203" t="s">
        <v>271</v>
      </c>
      <c r="J31" s="222">
        <f ca="1">SUM(J23:J28)</f>
        <v>214163791.30864733</v>
      </c>
      <c r="K31" s="210"/>
      <c r="L31" s="646"/>
      <c r="M31" s="222">
        <f ca="1">SUM(M23:M28)</f>
        <v>219379433.05454332</v>
      </c>
      <c r="N31" s="651"/>
      <c r="O31" s="634"/>
      <c r="P31" s="646"/>
      <c r="Q31" s="646"/>
      <c r="R31" s="646"/>
    </row>
    <row r="32" spans="3:18" ht="16.5" thickTop="1" x14ac:dyDescent="0.25">
      <c r="C32" s="203"/>
      <c r="J32" s="210"/>
      <c r="K32" s="210"/>
      <c r="L32" s="646"/>
      <c r="M32" s="646"/>
      <c r="N32" s="651"/>
      <c r="O32" s="634"/>
      <c r="P32" s="646"/>
      <c r="Q32" s="646"/>
      <c r="R32" s="646"/>
    </row>
    <row r="33" spans="1:18" x14ac:dyDescent="0.25">
      <c r="C33" s="203"/>
      <c r="D33" s="628" t="s">
        <v>702</v>
      </c>
      <c r="J33" s="210"/>
      <c r="K33" s="210"/>
      <c r="L33" s="646"/>
      <c r="M33" s="634">
        <f ca="1">M31-J31</f>
        <v>5215641.7458959818</v>
      </c>
      <c r="N33" s="652"/>
      <c r="O33" s="634"/>
      <c r="P33" s="646"/>
      <c r="Q33" s="646"/>
      <c r="R33" s="646"/>
    </row>
    <row r="34" spans="1:18" x14ac:dyDescent="0.25">
      <c r="C34" s="203"/>
      <c r="J34" s="210"/>
      <c r="K34" s="210"/>
      <c r="L34" s="646"/>
      <c r="M34" s="630">
        <f ca="1">M33/J31</f>
        <v>2.4353517996790284E-2</v>
      </c>
      <c r="N34" s="651"/>
      <c r="O34" s="634"/>
      <c r="P34" s="646"/>
      <c r="Q34" s="646"/>
      <c r="R34" s="646"/>
    </row>
    <row r="35" spans="1:18" x14ac:dyDescent="0.25">
      <c r="L35" s="646"/>
      <c r="M35" s="646"/>
      <c r="N35" s="646"/>
      <c r="O35" s="646"/>
      <c r="P35" s="646"/>
      <c r="Q35" s="646"/>
      <c r="R35" s="646"/>
    </row>
    <row r="36" spans="1:18" x14ac:dyDescent="0.25">
      <c r="C36" s="707" t="s">
        <v>553</v>
      </c>
      <c r="D36" s="321"/>
      <c r="E36" s="321"/>
      <c r="F36" s="749"/>
      <c r="G36" s="749"/>
      <c r="H36" s="749"/>
      <c r="I36" s="321"/>
      <c r="L36" s="646"/>
      <c r="M36" s="708" t="str">
        <f>M1</f>
        <v>EXHIBIT 6</v>
      </c>
      <c r="N36" s="646"/>
      <c r="O36" s="646"/>
      <c r="P36" s="646"/>
      <c r="Q36" s="646"/>
      <c r="R36" s="646"/>
    </row>
    <row r="37" spans="1:18" x14ac:dyDescent="0.25">
      <c r="C37" s="709" t="s">
        <v>450</v>
      </c>
      <c r="D37" s="321"/>
      <c r="E37" s="321"/>
      <c r="F37" s="749"/>
      <c r="G37" s="749"/>
      <c r="H37" s="749"/>
      <c r="I37" s="321"/>
      <c r="L37" s="646"/>
      <c r="M37" s="708" t="s">
        <v>726</v>
      </c>
      <c r="N37" s="646"/>
      <c r="O37" s="646"/>
      <c r="P37" s="646"/>
      <c r="Q37" s="646"/>
      <c r="R37" s="646"/>
    </row>
    <row r="38" spans="1:18" x14ac:dyDescent="0.25">
      <c r="C38" s="709" t="s">
        <v>451</v>
      </c>
      <c r="D38" s="321"/>
      <c r="E38" s="321"/>
      <c r="F38" s="749"/>
      <c r="G38" s="749"/>
      <c r="H38" s="749"/>
      <c r="I38" s="321"/>
      <c r="L38" s="646"/>
      <c r="M38" s="710">
        <f>M3</f>
        <v>0</v>
      </c>
      <c r="N38" s="646"/>
      <c r="O38" s="646"/>
      <c r="P38" s="646"/>
      <c r="Q38" s="646"/>
      <c r="R38" s="646"/>
    </row>
    <row r="39" spans="1:18" x14ac:dyDescent="0.25">
      <c r="C39" s="711"/>
      <c r="D39" s="712"/>
      <c r="E39" s="713"/>
      <c r="F39" s="750"/>
      <c r="G39" s="726"/>
      <c r="H39" s="726"/>
      <c r="I39" s="827"/>
      <c r="J39" s="828"/>
      <c r="K39" s="714"/>
      <c r="L39" s="646"/>
      <c r="M39" s="646"/>
      <c r="N39" s="646"/>
      <c r="O39" s="646"/>
      <c r="P39" s="646"/>
      <c r="Q39" s="646"/>
      <c r="R39" s="646"/>
    </row>
    <row r="40" spans="1:18" x14ac:dyDescent="0.25">
      <c r="L40" s="646"/>
      <c r="M40" s="646"/>
      <c r="N40" s="646"/>
      <c r="O40" s="646"/>
      <c r="P40" s="646"/>
      <c r="Q40" s="646"/>
      <c r="R40" s="646"/>
    </row>
    <row r="41" spans="1:18" ht="16.5" thickBot="1" x14ac:dyDescent="0.3">
      <c r="J41" s="194" t="s">
        <v>231</v>
      </c>
      <c r="K41" s="194"/>
      <c r="L41" s="829" t="s">
        <v>776</v>
      </c>
      <c r="M41" s="829"/>
      <c r="N41" s="646"/>
      <c r="O41" s="646"/>
      <c r="P41" s="646"/>
      <c r="Q41" s="646"/>
      <c r="R41" s="646"/>
    </row>
    <row r="42" spans="1:18" x14ac:dyDescent="0.25">
      <c r="J42" s="194" t="s">
        <v>148</v>
      </c>
      <c r="K42" s="194"/>
      <c r="L42" s="194"/>
      <c r="M42" s="646"/>
      <c r="N42" s="646"/>
      <c r="O42" s="646"/>
      <c r="P42" s="646"/>
      <c r="Q42" s="646"/>
      <c r="R42" s="646"/>
    </row>
    <row r="43" spans="1:18" x14ac:dyDescent="0.25">
      <c r="F43" s="248" t="s">
        <v>605</v>
      </c>
      <c r="G43" s="195"/>
      <c r="H43" s="195" t="s">
        <v>323</v>
      </c>
      <c r="I43" s="194" t="s">
        <v>265</v>
      </c>
      <c r="J43" s="196" t="s">
        <v>266</v>
      </c>
      <c r="K43" s="196"/>
      <c r="L43" s="590" t="s">
        <v>618</v>
      </c>
      <c r="M43" s="590" t="s">
        <v>231</v>
      </c>
      <c r="N43" s="646"/>
      <c r="O43" s="646"/>
      <c r="P43" s="646"/>
      <c r="Q43" s="646"/>
      <c r="R43" s="646"/>
    </row>
    <row r="44" spans="1:18" ht="16.5" thickBot="1" x14ac:dyDescent="0.3">
      <c r="C44" s="197" t="s">
        <v>152</v>
      </c>
      <c r="D44" s="197"/>
      <c r="E44" s="197"/>
      <c r="F44" s="727" t="s">
        <v>606</v>
      </c>
      <c r="G44" s="198" t="s">
        <v>147</v>
      </c>
      <c r="H44" s="198" t="s">
        <v>147</v>
      </c>
      <c r="I44" s="199" t="s">
        <v>267</v>
      </c>
      <c r="J44" s="199" t="s">
        <v>267</v>
      </c>
      <c r="K44" s="199"/>
      <c r="L44" s="645" t="s">
        <v>619</v>
      </c>
      <c r="M44" s="645" t="s">
        <v>148</v>
      </c>
      <c r="N44" s="646"/>
      <c r="O44" s="646"/>
      <c r="P44" s="646"/>
      <c r="Q44" s="646"/>
      <c r="R44" s="646"/>
    </row>
    <row r="45" spans="1:18" x14ac:dyDescent="0.25">
      <c r="L45" s="646"/>
      <c r="M45" s="646"/>
      <c r="N45" s="646"/>
      <c r="O45" s="646"/>
      <c r="P45" s="646"/>
      <c r="Q45" s="646"/>
      <c r="R45" s="646"/>
    </row>
    <row r="46" spans="1:18" x14ac:dyDescent="0.25">
      <c r="C46" s="700" t="s">
        <v>272</v>
      </c>
      <c r="E46" s="203"/>
      <c r="F46" s="590"/>
      <c r="G46" s="590"/>
      <c r="L46" s="646"/>
      <c r="M46" s="646"/>
      <c r="N46" s="646"/>
      <c r="O46" s="646"/>
      <c r="P46" s="646"/>
      <c r="Q46" s="646"/>
      <c r="R46" s="646"/>
    </row>
    <row r="47" spans="1:18" x14ac:dyDescent="0.25">
      <c r="C47" s="203"/>
      <c r="E47" s="203"/>
      <c r="F47" s="590"/>
      <c r="G47" s="590"/>
      <c r="L47" s="646"/>
      <c r="M47" s="646"/>
      <c r="N47" s="646"/>
      <c r="O47" s="646"/>
      <c r="P47" s="646"/>
      <c r="Q47" s="646"/>
      <c r="R47" s="646"/>
    </row>
    <row r="48" spans="1:18" x14ac:dyDescent="0.25">
      <c r="A48" s="320" t="s">
        <v>101</v>
      </c>
      <c r="C48" s="203" t="s">
        <v>273</v>
      </c>
      <c r="L48" s="646"/>
      <c r="M48" s="646"/>
      <c r="N48" s="646"/>
      <c r="O48" s="646"/>
      <c r="P48" s="646"/>
      <c r="Q48" s="646"/>
      <c r="R48" s="646"/>
    </row>
    <row r="49" spans="1:18" x14ac:dyDescent="0.25">
      <c r="C49" s="203"/>
      <c r="D49" s="204" t="s">
        <v>737</v>
      </c>
      <c r="L49" s="205"/>
      <c r="M49" s="646"/>
      <c r="N49" s="646"/>
      <c r="O49" s="646"/>
      <c r="P49" s="646"/>
      <c r="Q49" s="646"/>
      <c r="R49" s="646"/>
    </row>
    <row r="50" spans="1:18" x14ac:dyDescent="0.25">
      <c r="A50" s="320" t="s">
        <v>288</v>
      </c>
      <c r="C50" s="701"/>
      <c r="D50" s="215" t="s">
        <v>274</v>
      </c>
      <c r="F50" s="753">
        <f>SUMIF('Jul17-Jun18 Retail'!$G$7:$G$89,$A$48,'Jul17-Jun18 Retail'!$I$7:$I$89)</f>
        <v>287391</v>
      </c>
      <c r="I50" s="205">
        <f>VLOOKUP($A$48,'Retail Rates'!$A$7:$L$34,6,FALSE)</f>
        <v>40</v>
      </c>
      <c r="J50" s="206">
        <f>+F50*I50</f>
        <v>11495640</v>
      </c>
      <c r="K50" s="206"/>
      <c r="L50" s="205">
        <v>60</v>
      </c>
      <c r="M50" s="206">
        <f>F50*L50</f>
        <v>17243460</v>
      </c>
      <c r="N50" s="646"/>
      <c r="O50" s="646"/>
      <c r="P50" s="651"/>
      <c r="Q50" s="715"/>
      <c r="R50" s="646"/>
    </row>
    <row r="51" spans="1:18" x14ac:dyDescent="0.25">
      <c r="C51" s="701"/>
      <c r="D51" s="215" t="s">
        <v>275</v>
      </c>
      <c r="F51" s="753">
        <f>SUMIF('Jul17-Jun18 Retail'!$G$7:$G$89,$A$48,'Jul17-Jun18 Retail'!$J$7:$J$89)-12</f>
        <v>11957</v>
      </c>
      <c r="I51" s="205">
        <f>VLOOKUP($A$48,'Retail Rates'!$A$7:$L$34,7,FALSE)</f>
        <v>180</v>
      </c>
      <c r="J51" s="206">
        <f>+F51*I51</f>
        <v>2152260</v>
      </c>
      <c r="K51" s="206"/>
      <c r="L51" s="205">
        <v>285</v>
      </c>
      <c r="M51" s="206">
        <f>F51*L51</f>
        <v>3407745</v>
      </c>
      <c r="N51" s="646"/>
      <c r="O51" s="646"/>
      <c r="P51" s="651"/>
      <c r="Q51" s="651"/>
      <c r="R51" s="646"/>
    </row>
    <row r="52" spans="1:18" x14ac:dyDescent="0.25">
      <c r="L52" s="205"/>
      <c r="M52" s="206"/>
      <c r="N52" s="665"/>
      <c r="O52" s="646"/>
      <c r="P52" s="651"/>
      <c r="Q52" s="646"/>
      <c r="R52" s="646"/>
    </row>
    <row r="53" spans="1:18" x14ac:dyDescent="0.25">
      <c r="D53" s="193" t="s">
        <v>0</v>
      </c>
      <c r="I53" s="208"/>
      <c r="L53" s="205"/>
      <c r="M53" s="206"/>
      <c r="N53" s="651"/>
      <c r="O53" s="320" t="s">
        <v>771</v>
      </c>
      <c r="P53" s="646" t="s">
        <v>770</v>
      </c>
      <c r="Q53" s="646"/>
      <c r="R53" s="646"/>
    </row>
    <row r="54" spans="1:18" x14ac:dyDescent="0.25">
      <c r="C54" s="702"/>
      <c r="D54" s="193" t="s">
        <v>276</v>
      </c>
      <c r="G54" s="753">
        <f>(SUMIF('Jul17-Jun18 Retail'!$G$7:$G$89,$A$48,'Jul17-Jun18 Retail'!$K$7:$K$89)/10)-G319</f>
        <v>10030582.665896311</v>
      </c>
      <c r="I54" s="247">
        <f>VLOOKUP($A$48,'Retail Rates'!$A$7:$L$34,8,FALSE)*10</f>
        <v>2.1504000000000003</v>
      </c>
      <c r="J54" s="216">
        <f>+G54*I54</f>
        <v>21569764.964743432</v>
      </c>
      <c r="K54" s="216"/>
      <c r="L54" s="247">
        <v>2.5335000000000001</v>
      </c>
      <c r="M54" s="206">
        <f>G54*L54</f>
        <v>25412481.184048306</v>
      </c>
      <c r="N54" s="646"/>
      <c r="O54" s="646"/>
      <c r="P54" s="646"/>
      <c r="Q54" s="646"/>
      <c r="R54" s="646"/>
    </row>
    <row r="55" spans="1:18" x14ac:dyDescent="0.25">
      <c r="C55" s="701"/>
      <c r="D55" s="193" t="s">
        <v>277</v>
      </c>
      <c r="H55" s="753">
        <f>SUMIF('Jul17-Jun18 Retail'!$G$7:$G$89,A48,'Jul17-Jun18 Retail'!$L$7:$L$89)/10</f>
        <v>104352.96018885882</v>
      </c>
      <c r="I55" s="247">
        <f>VLOOKUP($A$48,'Retail Rates'!$A$7:$L$34,9,FALSE)*10</f>
        <v>1.6504000000000003</v>
      </c>
      <c r="J55" s="216">
        <f>+I55*H55</f>
        <v>172224.12549569263</v>
      </c>
      <c r="K55" s="216"/>
      <c r="L55" s="247">
        <f>L54+(I55-I54)</f>
        <v>2.0335000000000001</v>
      </c>
      <c r="M55" s="206">
        <f>H55*L55</f>
        <v>212201.74454404443</v>
      </c>
      <c r="N55" s="634"/>
      <c r="O55" s="646"/>
      <c r="P55" s="646"/>
      <c r="Q55" s="646"/>
      <c r="R55" s="646"/>
    </row>
    <row r="56" spans="1:18" x14ac:dyDescent="0.25">
      <c r="H56" s="754"/>
      <c r="L56" s="208"/>
      <c r="M56" s="206"/>
      <c r="N56" s="646"/>
      <c r="O56" s="690">
        <f>SUM(M54:M55)</f>
        <v>25624682.92859235</v>
      </c>
      <c r="P56" s="666">
        <v>26568955</v>
      </c>
      <c r="Q56" s="646"/>
      <c r="R56" s="646"/>
    </row>
    <row r="57" spans="1:18" x14ac:dyDescent="0.25">
      <c r="H57" s="754"/>
      <c r="L57" s="205"/>
      <c r="M57" s="206"/>
      <c r="N57" s="646"/>
      <c r="O57" s="646"/>
      <c r="P57" s="646"/>
      <c r="Q57" s="646"/>
      <c r="R57" s="646"/>
    </row>
    <row r="58" spans="1:18" x14ac:dyDescent="0.25">
      <c r="D58" s="203" t="s">
        <v>383</v>
      </c>
      <c r="H58" s="754"/>
      <c r="J58" s="347">
        <f>SUM(J50:J56)</f>
        <v>35389889.09023913</v>
      </c>
      <c r="K58" s="347"/>
      <c r="L58" s="205"/>
      <c r="M58" s="347">
        <f>SUM(M50:M56)</f>
        <v>46275887.928592354</v>
      </c>
      <c r="N58" s="646"/>
      <c r="O58" s="646">
        <f>O56/P56</f>
        <v>0.96445957052478537</v>
      </c>
      <c r="P58" s="646"/>
      <c r="Q58" s="646"/>
      <c r="R58" s="646"/>
    </row>
    <row r="59" spans="1:18" x14ac:dyDescent="0.25">
      <c r="D59" s="203"/>
      <c r="H59" s="754"/>
      <c r="J59" s="347"/>
      <c r="K59" s="347"/>
      <c r="L59" s="205"/>
      <c r="M59" s="347"/>
      <c r="N59" s="646"/>
      <c r="O59" s="646"/>
      <c r="P59" s="690"/>
      <c r="Q59" s="646"/>
      <c r="R59" s="646"/>
    </row>
    <row r="60" spans="1:18" x14ac:dyDescent="0.25">
      <c r="D60" s="214" t="s">
        <v>716</v>
      </c>
      <c r="H60" s="754"/>
      <c r="I60" s="716">
        <f ca="1">'Revenue Summary B'!N14</f>
        <v>0.99999999637399828</v>
      </c>
      <c r="J60" s="347"/>
      <c r="K60" s="347"/>
      <c r="L60" s="716">
        <f ca="1">I60</f>
        <v>0.99999999637399828</v>
      </c>
      <c r="M60" s="347"/>
      <c r="N60" s="646"/>
      <c r="O60" s="646"/>
      <c r="P60" s="646"/>
      <c r="Q60" s="646"/>
      <c r="R60" s="646"/>
    </row>
    <row r="61" spans="1:18" x14ac:dyDescent="0.25">
      <c r="D61" s="203"/>
      <c r="H61" s="754"/>
      <c r="J61" s="347"/>
      <c r="K61" s="347"/>
      <c r="L61" s="205"/>
      <c r="M61" s="347"/>
      <c r="N61" s="646"/>
      <c r="O61" s="646"/>
      <c r="P61" s="646"/>
      <c r="Q61" s="646"/>
      <c r="R61" s="646"/>
    </row>
    <row r="62" spans="1:18" x14ac:dyDescent="0.25">
      <c r="D62" s="203" t="s">
        <v>717</v>
      </c>
      <c r="J62" s="347">
        <f ca="1">J58/I60</f>
        <v>35389889.218562931</v>
      </c>
      <c r="L62" s="205"/>
      <c r="M62" s="347">
        <f ca="1">M58/L60</f>
        <v>46275888.096388802</v>
      </c>
      <c r="N62" s="646"/>
      <c r="O62" s="646"/>
      <c r="P62" s="646"/>
      <c r="Q62" s="646"/>
      <c r="R62" s="646"/>
    </row>
    <row r="63" spans="1:18" x14ac:dyDescent="0.25">
      <c r="L63" s="205"/>
      <c r="M63" s="206"/>
      <c r="N63" s="646"/>
      <c r="O63" s="646"/>
      <c r="P63" s="646"/>
      <c r="Q63" s="646"/>
      <c r="R63" s="646"/>
    </row>
    <row r="64" spans="1:18" x14ac:dyDescent="0.25">
      <c r="A64" s="320" t="s">
        <v>337</v>
      </c>
      <c r="C64" s="201" t="s">
        <v>715</v>
      </c>
      <c r="L64" s="205"/>
      <c r="M64" s="206"/>
      <c r="N64" s="646"/>
      <c r="O64" s="646"/>
      <c r="P64" s="670"/>
      <c r="Q64" s="646"/>
      <c r="R64" s="646"/>
    </row>
    <row r="65" spans="3:18" x14ac:dyDescent="0.25">
      <c r="D65" s="193" t="s">
        <v>278</v>
      </c>
      <c r="F65" s="751">
        <f>+'Summary SBR-Transport'!B9</f>
        <v>0</v>
      </c>
      <c r="I65" s="205">
        <v>550</v>
      </c>
      <c r="J65" s="342">
        <f>+F65*I65</f>
        <v>0</v>
      </c>
      <c r="K65" s="342"/>
      <c r="L65" s="205">
        <v>550</v>
      </c>
      <c r="M65" s="206">
        <f>F65*L65</f>
        <v>0</v>
      </c>
      <c r="N65" s="646"/>
      <c r="O65" s="646"/>
      <c r="P65" s="667"/>
      <c r="Q65" s="646"/>
      <c r="R65" s="646"/>
    </row>
    <row r="66" spans="3:18" x14ac:dyDescent="0.25">
      <c r="L66" s="646"/>
      <c r="M66" s="206"/>
      <c r="N66" s="646"/>
      <c r="O66" s="646"/>
      <c r="P66" s="646"/>
      <c r="Q66" s="646"/>
      <c r="R66" s="646"/>
    </row>
    <row r="67" spans="3:18" x14ac:dyDescent="0.25">
      <c r="D67" s="193" t="s">
        <v>0</v>
      </c>
      <c r="L67" s="646"/>
      <c r="M67" s="206"/>
      <c r="N67" s="646"/>
      <c r="O67" s="646"/>
      <c r="P67" s="646"/>
      <c r="Q67" s="646"/>
      <c r="R67" s="646"/>
    </row>
    <row r="68" spans="3:18" x14ac:dyDescent="0.25">
      <c r="D68" s="193" t="s">
        <v>276</v>
      </c>
      <c r="G68" s="751">
        <v>0</v>
      </c>
      <c r="I68" s="247">
        <f>VLOOKUP($A$48,'Retail Rates'!$A$7:$L$34,8,FALSE)*10</f>
        <v>2.1504000000000003</v>
      </c>
      <c r="J68" s="342">
        <f>+G68*I68</f>
        <v>0</v>
      </c>
      <c r="K68" s="342"/>
      <c r="L68" s="247">
        <f>L54</f>
        <v>2.5335000000000001</v>
      </c>
      <c r="M68" s="206">
        <f>G68*L68</f>
        <v>0</v>
      </c>
      <c r="N68" s="646"/>
      <c r="O68" s="646"/>
      <c r="P68" s="646"/>
      <c r="Q68" s="646"/>
      <c r="R68" s="646"/>
    </row>
    <row r="69" spans="3:18" x14ac:dyDescent="0.25">
      <c r="D69" s="193" t="s">
        <v>277</v>
      </c>
      <c r="H69" s="751">
        <v>0</v>
      </c>
      <c r="I69" s="247">
        <f>VLOOKUP($A$48,'Retail Rates'!$A$7:$L$34,9,FALSE)*10</f>
        <v>1.6504000000000003</v>
      </c>
      <c r="J69" s="349">
        <f>+G69*I69</f>
        <v>0</v>
      </c>
      <c r="K69" s="591"/>
      <c r="L69" s="247">
        <f>L55</f>
        <v>2.0335000000000001</v>
      </c>
      <c r="M69" s="206">
        <f>H69*L69</f>
        <v>0</v>
      </c>
      <c r="N69" s="646"/>
      <c r="O69" s="634"/>
      <c r="P69" s="646"/>
      <c r="Q69" s="646"/>
      <c r="R69" s="646"/>
    </row>
    <row r="70" spans="3:18" x14ac:dyDescent="0.25">
      <c r="I70" s="208"/>
      <c r="J70" s="342"/>
      <c r="K70" s="342"/>
      <c r="L70" s="646"/>
      <c r="M70" s="206"/>
      <c r="N70" s="646"/>
      <c r="O70" s="646"/>
      <c r="P70" s="646"/>
      <c r="Q70" s="646"/>
      <c r="R70" s="646"/>
    </row>
    <row r="71" spans="3:18" x14ac:dyDescent="0.25">
      <c r="D71" s="203" t="s">
        <v>383</v>
      </c>
      <c r="I71" s="208"/>
      <c r="J71" s="348">
        <f>SUM(J65:J69)</f>
        <v>0</v>
      </c>
      <c r="K71" s="348"/>
      <c r="L71" s="646"/>
      <c r="M71" s="629">
        <f>SUM(M65:M69)</f>
        <v>0</v>
      </c>
      <c r="N71" s="646"/>
      <c r="O71" s="646"/>
      <c r="P71" s="646"/>
      <c r="Q71" s="646"/>
      <c r="R71" s="646"/>
    </row>
    <row r="72" spans="3:18" x14ac:dyDescent="0.25">
      <c r="I72" s="208"/>
      <c r="J72" s="342"/>
      <c r="K72" s="342"/>
      <c r="L72" s="646"/>
      <c r="M72" s="206"/>
      <c r="N72" s="646"/>
      <c r="O72" s="646"/>
      <c r="P72" s="646"/>
      <c r="Q72" s="646"/>
      <c r="R72" s="646"/>
    </row>
    <row r="73" spans="3:18" x14ac:dyDescent="0.25">
      <c r="D73" s="207" t="s">
        <v>452</v>
      </c>
      <c r="I73" s="208"/>
      <c r="J73" s="206">
        <f ca="1">(SUMIF('12-MO Forecast Summary'!$E$6:$E$18,'Sch M-2.3 Pg. 2-9'!$A$48,'12-MO Forecast Summary'!$U$6:$U$18))-10099.84</f>
        <v>43699222.094499528</v>
      </c>
      <c r="K73" s="218"/>
      <c r="L73" s="646"/>
      <c r="M73" s="206">
        <f ca="1">J73</f>
        <v>43699222.094499528</v>
      </c>
      <c r="N73" s="646"/>
      <c r="O73" s="646"/>
      <c r="P73" s="646"/>
      <c r="Q73" s="646"/>
      <c r="R73" s="646"/>
    </row>
    <row r="74" spans="3:18" x14ac:dyDescent="0.25">
      <c r="D74" s="207" t="s">
        <v>453</v>
      </c>
      <c r="I74" s="208"/>
      <c r="J74" s="206">
        <f ca="1">(SUMIF('12-MO Forecast Summary'!$E$6:$E$18,'Sch M-2.3 Pg. 2-9'!$A$48,'12-MO Forecast Summary'!$V$6:$V$18))-16.08</f>
        <v>1178151.7942125057</v>
      </c>
      <c r="K74" s="218"/>
      <c r="L74" s="646"/>
      <c r="M74" s="206">
        <f t="shared" ref="M74" ca="1" si="0">J74</f>
        <v>1178151.7942125057</v>
      </c>
      <c r="N74" s="646"/>
      <c r="O74" s="646"/>
      <c r="P74" s="646"/>
      <c r="Q74" s="646"/>
      <c r="R74" s="646"/>
    </row>
    <row r="75" spans="3:18" x14ac:dyDescent="0.25">
      <c r="D75" s="207" t="s">
        <v>415</v>
      </c>
      <c r="J75" s="206">
        <f ca="1">(SUMIF('12-MO Forecast Summary'!$E$6:$E$18,'Sch M-2.3 Pg. 2-9'!$A$48,'12-MO Forecast Summary'!$W$6:$W$18))-546.24</f>
        <v>9960508.4727250375</v>
      </c>
      <c r="K75" s="218"/>
      <c r="L75" s="646"/>
      <c r="M75" s="206">
        <f>1272142-69.76</f>
        <v>1272072.24</v>
      </c>
      <c r="N75" s="646"/>
      <c r="O75" s="646"/>
      <c r="P75" s="646"/>
      <c r="Q75" s="646"/>
      <c r="R75" s="646"/>
    </row>
    <row r="76" spans="3:18" x14ac:dyDescent="0.25">
      <c r="D76" s="207"/>
      <c r="J76" s="218"/>
      <c r="K76" s="218"/>
      <c r="L76" s="646"/>
      <c r="M76" s="646"/>
      <c r="N76" s="646"/>
      <c r="O76" s="646"/>
      <c r="P76" s="646"/>
      <c r="Q76" s="646"/>
      <c r="R76" s="646"/>
    </row>
    <row r="77" spans="3:18" x14ac:dyDescent="0.25">
      <c r="L77" s="646"/>
      <c r="M77" s="646"/>
      <c r="N77" s="646"/>
      <c r="O77" s="646"/>
      <c r="P77" s="646"/>
      <c r="Q77" s="646"/>
      <c r="R77" s="646"/>
    </row>
    <row r="78" spans="3:18" ht="16.5" thickBot="1" x14ac:dyDescent="0.3">
      <c r="C78" s="203" t="s">
        <v>279</v>
      </c>
      <c r="J78" s="222">
        <f ca="1">J62+J71+SUM(J73:J76)</f>
        <v>90227771.579999998</v>
      </c>
      <c r="K78" s="210"/>
      <c r="L78" s="646"/>
      <c r="M78" s="222">
        <f ca="1">M62+M71+SUM(M73:M76)</f>
        <v>92425334.225100845</v>
      </c>
      <c r="N78" s="651"/>
      <c r="O78" s="634"/>
      <c r="P78" s="646"/>
      <c r="Q78" s="646"/>
      <c r="R78" s="646"/>
    </row>
    <row r="79" spans="3:18" ht="16.5" thickTop="1" x14ac:dyDescent="0.25">
      <c r="C79" s="203"/>
      <c r="J79" s="210"/>
      <c r="K79" s="210"/>
      <c r="L79" s="646"/>
      <c r="M79" s="646"/>
      <c r="N79" s="646"/>
      <c r="O79" s="634"/>
      <c r="P79" s="646"/>
      <c r="Q79" s="646"/>
      <c r="R79" s="646"/>
    </row>
    <row r="80" spans="3:18" x14ac:dyDescent="0.25">
      <c r="C80" s="203"/>
      <c r="D80" s="628" t="s">
        <v>702</v>
      </c>
      <c r="J80" s="210"/>
      <c r="K80" s="210"/>
      <c r="L80" s="646"/>
      <c r="M80" s="634">
        <f ca="1">M78-J78</f>
        <v>2197562.6451008469</v>
      </c>
      <c r="N80" s="666"/>
      <c r="O80" s="634"/>
      <c r="P80" s="646"/>
      <c r="Q80" s="646"/>
      <c r="R80" s="646"/>
    </row>
    <row r="81" spans="1:18" x14ac:dyDescent="0.25">
      <c r="C81" s="203"/>
      <c r="J81" s="210"/>
      <c r="K81" s="210"/>
      <c r="L81" s="646"/>
      <c r="M81" s="630">
        <f ca="1">M80/J78</f>
        <v>2.4355723372292189E-2</v>
      </c>
      <c r="N81" s="646"/>
      <c r="O81" s="634"/>
      <c r="P81" s="646"/>
      <c r="Q81" s="646"/>
      <c r="R81" s="646"/>
    </row>
    <row r="82" spans="1:18" x14ac:dyDescent="0.25">
      <c r="C82" s="203"/>
      <c r="D82" s="203"/>
      <c r="E82" s="203"/>
      <c r="F82" s="590"/>
      <c r="G82" s="590"/>
      <c r="L82" s="646"/>
      <c r="M82" s="646"/>
      <c r="N82" s="646"/>
      <c r="O82" s="646"/>
      <c r="P82" s="646"/>
      <c r="Q82" s="646"/>
      <c r="R82" s="646"/>
    </row>
    <row r="83" spans="1:18" x14ac:dyDescent="0.25">
      <c r="C83" s="707" t="s">
        <v>553</v>
      </c>
      <c r="D83" s="321"/>
      <c r="E83" s="321"/>
      <c r="F83" s="749"/>
      <c r="G83" s="749"/>
      <c r="H83" s="749"/>
      <c r="I83" s="321"/>
      <c r="L83" s="646"/>
      <c r="M83" s="708" t="str">
        <f>M36</f>
        <v>EXHIBIT 6</v>
      </c>
      <c r="N83" s="646"/>
      <c r="O83" s="646"/>
      <c r="P83" s="646"/>
      <c r="Q83" s="646"/>
      <c r="R83" s="646"/>
    </row>
    <row r="84" spans="1:18" x14ac:dyDescent="0.25">
      <c r="C84" s="709" t="s">
        <v>450</v>
      </c>
      <c r="D84" s="321"/>
      <c r="E84" s="321"/>
      <c r="F84" s="749"/>
      <c r="G84" s="749"/>
      <c r="H84" s="749"/>
      <c r="I84" s="321"/>
      <c r="L84" s="646"/>
      <c r="M84" s="708" t="s">
        <v>727</v>
      </c>
      <c r="N84" s="646"/>
      <c r="O84" s="646"/>
      <c r="P84" s="646"/>
      <c r="Q84" s="646"/>
      <c r="R84" s="646"/>
    </row>
    <row r="85" spans="1:18" x14ac:dyDescent="0.25">
      <c r="C85" s="709" t="s">
        <v>451</v>
      </c>
      <c r="D85" s="321"/>
      <c r="E85" s="321"/>
      <c r="F85" s="749"/>
      <c r="G85" s="749"/>
      <c r="H85" s="749"/>
      <c r="I85" s="321"/>
      <c r="L85" s="646"/>
      <c r="M85" s="710">
        <f>M38</f>
        <v>0</v>
      </c>
      <c r="N85" s="646"/>
      <c r="O85" s="646"/>
      <c r="P85" s="646"/>
      <c r="Q85" s="646"/>
      <c r="R85" s="646"/>
    </row>
    <row r="86" spans="1:18" x14ac:dyDescent="0.25">
      <c r="C86" s="711"/>
      <c r="D86" s="712"/>
      <c r="E86" s="713"/>
      <c r="F86" s="750"/>
      <c r="G86" s="726"/>
      <c r="H86" s="726"/>
      <c r="I86" s="827"/>
      <c r="J86" s="828"/>
      <c r="K86" s="714"/>
      <c r="L86" s="646"/>
      <c r="M86" s="646"/>
      <c r="N86" s="646"/>
      <c r="O86" s="646"/>
      <c r="P86" s="646"/>
      <c r="Q86" s="646"/>
      <c r="R86" s="646"/>
    </row>
    <row r="87" spans="1:18" x14ac:dyDescent="0.25">
      <c r="L87" s="646"/>
      <c r="M87" s="646"/>
      <c r="N87" s="646"/>
      <c r="O87" s="646"/>
      <c r="P87" s="646"/>
      <c r="Q87" s="646"/>
      <c r="R87" s="646"/>
    </row>
    <row r="88" spans="1:18" ht="16.5" thickBot="1" x14ac:dyDescent="0.3">
      <c r="J88" s="194" t="s">
        <v>231</v>
      </c>
      <c r="K88" s="194"/>
      <c r="L88" s="829" t="s">
        <v>776</v>
      </c>
      <c r="M88" s="829"/>
      <c r="N88" s="646"/>
      <c r="O88" s="646"/>
      <c r="P88" s="646"/>
      <c r="Q88" s="646"/>
      <c r="R88" s="646"/>
    </row>
    <row r="89" spans="1:18" x14ac:dyDescent="0.25">
      <c r="J89" s="194" t="s">
        <v>148</v>
      </c>
      <c r="K89" s="194"/>
      <c r="L89" s="194"/>
      <c r="M89" s="646"/>
      <c r="N89" s="646"/>
      <c r="O89" s="646"/>
      <c r="P89" s="646"/>
      <c r="Q89" s="646"/>
      <c r="R89" s="646"/>
    </row>
    <row r="90" spans="1:18" x14ac:dyDescent="0.25">
      <c r="F90" s="248" t="s">
        <v>605</v>
      </c>
      <c r="G90" s="195"/>
      <c r="H90" s="195" t="s">
        <v>323</v>
      </c>
      <c r="I90" s="194" t="s">
        <v>265</v>
      </c>
      <c r="J90" s="196" t="s">
        <v>266</v>
      </c>
      <c r="K90" s="196"/>
      <c r="L90" s="590" t="s">
        <v>618</v>
      </c>
      <c r="M90" s="590" t="s">
        <v>231</v>
      </c>
      <c r="N90" s="646"/>
      <c r="O90" s="646"/>
      <c r="P90" s="646"/>
      <c r="Q90" s="646"/>
      <c r="R90" s="646"/>
    </row>
    <row r="91" spans="1:18" ht="16.5" thickBot="1" x14ac:dyDescent="0.3">
      <c r="C91" s="197" t="s">
        <v>152</v>
      </c>
      <c r="D91" s="197"/>
      <c r="E91" s="197"/>
      <c r="F91" s="727" t="s">
        <v>606</v>
      </c>
      <c r="G91" s="198" t="s">
        <v>147</v>
      </c>
      <c r="H91" s="198" t="s">
        <v>147</v>
      </c>
      <c r="I91" s="199" t="s">
        <v>267</v>
      </c>
      <c r="J91" s="199" t="s">
        <v>267</v>
      </c>
      <c r="K91" s="199"/>
      <c r="L91" s="645" t="s">
        <v>619</v>
      </c>
      <c r="M91" s="645" t="s">
        <v>148</v>
      </c>
      <c r="N91" s="646"/>
      <c r="O91" s="646"/>
      <c r="P91" s="646"/>
      <c r="Q91" s="646"/>
      <c r="R91" s="646"/>
    </row>
    <row r="92" spans="1:18" x14ac:dyDescent="0.25">
      <c r="C92" s="203"/>
      <c r="D92" s="203"/>
      <c r="E92" s="203"/>
      <c r="F92" s="590"/>
      <c r="G92" s="590"/>
      <c r="L92" s="634"/>
      <c r="M92" s="634"/>
      <c r="N92" s="646"/>
      <c r="O92" s="646"/>
      <c r="P92" s="646"/>
      <c r="Q92" s="646"/>
      <c r="R92" s="646"/>
    </row>
    <row r="93" spans="1:18" x14ac:dyDescent="0.25">
      <c r="C93" s="700" t="s">
        <v>280</v>
      </c>
      <c r="E93" s="203"/>
      <c r="F93" s="590"/>
      <c r="G93" s="590"/>
      <c r="L93" s="634"/>
      <c r="M93" s="634"/>
      <c r="N93" s="646"/>
      <c r="O93" s="646"/>
      <c r="P93" s="646"/>
      <c r="Q93" s="646"/>
      <c r="R93" s="646"/>
    </row>
    <row r="94" spans="1:18" x14ac:dyDescent="0.25">
      <c r="C94" s="203"/>
      <c r="E94" s="203"/>
      <c r="F94" s="590"/>
      <c r="G94" s="590"/>
      <c r="L94" s="634"/>
      <c r="M94" s="634"/>
      <c r="N94" s="646"/>
      <c r="O94" s="646"/>
      <c r="P94" s="646"/>
      <c r="Q94" s="646"/>
      <c r="R94" s="646"/>
    </row>
    <row r="95" spans="1:18" x14ac:dyDescent="0.25">
      <c r="A95" s="320" t="s">
        <v>111</v>
      </c>
      <c r="C95" s="203" t="s">
        <v>281</v>
      </c>
      <c r="L95" s="646"/>
      <c r="M95" s="646"/>
      <c r="N95" s="646"/>
      <c r="O95" s="646"/>
      <c r="P95" s="646"/>
      <c r="Q95" s="646"/>
      <c r="R95" s="646"/>
    </row>
    <row r="96" spans="1:18" x14ac:dyDescent="0.25">
      <c r="C96" s="203"/>
      <c r="D96" s="204" t="s">
        <v>325</v>
      </c>
      <c r="L96" s="646"/>
      <c r="M96" s="206"/>
      <c r="N96" s="646"/>
      <c r="O96" s="646"/>
      <c r="P96" s="646"/>
      <c r="Q96" s="646"/>
      <c r="R96" s="646"/>
    </row>
    <row r="97" spans="1:18" x14ac:dyDescent="0.25">
      <c r="A97" s="320" t="s">
        <v>289</v>
      </c>
      <c r="B97" s="703"/>
      <c r="C97" s="701"/>
      <c r="D97" s="215" t="s">
        <v>274</v>
      </c>
      <c r="F97" s="753">
        <f>SUMIF('Jul17-Jun18 Retail'!$G$7:$G$89,A95,'Jul17-Jun18 Retail'!$I$7:$I$89)</f>
        <v>1761</v>
      </c>
      <c r="I97" s="205">
        <f>VLOOKUP($A$95,'Retail Rates'!$A$7:$L$34,6,FALSE)</f>
        <v>40</v>
      </c>
      <c r="J97" s="206">
        <f>+F97*I97</f>
        <v>70440</v>
      </c>
      <c r="K97" s="206"/>
      <c r="L97" s="205">
        <v>165</v>
      </c>
      <c r="M97" s="206">
        <f>F97*L97</f>
        <v>290565</v>
      </c>
      <c r="N97" s="646"/>
      <c r="O97" s="646"/>
      <c r="P97" s="651">
        <f>P99*(J97/SUM(J97:J98))</f>
        <v>294825.12622054672</v>
      </c>
      <c r="Q97" s="715">
        <f>P97/F97</f>
        <v>167.41915174363811</v>
      </c>
      <c r="R97" s="646"/>
    </row>
    <row r="98" spans="1:18" x14ac:dyDescent="0.25">
      <c r="B98" s="703"/>
      <c r="C98" s="701"/>
      <c r="D98" s="215" t="s">
        <v>275</v>
      </c>
      <c r="F98" s="753">
        <f>SUMIF('Jul17-Jun18 Retail'!$G$7:$G$89,A95,'Jul17-Jun18 Retail'!$J$7:$J$89)</f>
        <v>1377</v>
      </c>
      <c r="I98" s="205">
        <f>VLOOKUP($A$95,'Retail Rates'!$A$7:$L$34,7,FALSE)</f>
        <v>180</v>
      </c>
      <c r="J98" s="206">
        <f>+F98*I98</f>
        <v>247860</v>
      </c>
      <c r="K98" s="206"/>
      <c r="L98" s="205">
        <v>750</v>
      </c>
      <c r="M98" s="206">
        <f>F98*L98</f>
        <v>1032750</v>
      </c>
      <c r="N98" s="646"/>
      <c r="O98" s="646"/>
      <c r="P98" s="651">
        <f>P99*(J98/SUM(J97:J98))</f>
        <v>1037412.7737794535</v>
      </c>
      <c r="Q98" s="651">
        <f>P98/F98</f>
        <v>753.38618284637141</v>
      </c>
      <c r="R98" s="646"/>
    </row>
    <row r="99" spans="1:18" x14ac:dyDescent="0.25">
      <c r="F99" s="754"/>
      <c r="I99" s="644"/>
      <c r="J99" s="217"/>
      <c r="L99" s="644"/>
      <c r="N99" s="665">
        <f>SUM(F97:F98)</f>
        <v>3138</v>
      </c>
      <c r="O99" s="646">
        <v>424.55</v>
      </c>
      <c r="P99" s="651">
        <f>O99*N99</f>
        <v>1332237.9000000001</v>
      </c>
      <c r="Q99" s="646"/>
      <c r="R99" s="646"/>
    </row>
    <row r="100" spans="1:18" x14ac:dyDescent="0.25">
      <c r="D100" s="193" t="s">
        <v>0</v>
      </c>
      <c r="I100" s="208"/>
      <c r="L100" s="646"/>
      <c r="M100" s="206"/>
      <c r="N100" s="651">
        <f>N99/12</f>
        <v>261.5</v>
      </c>
      <c r="O100" s="646"/>
      <c r="P100" s="652"/>
      <c r="Q100" s="646"/>
      <c r="R100" s="646"/>
    </row>
    <row r="101" spans="1:18" x14ac:dyDescent="0.25">
      <c r="D101" s="193" t="s">
        <v>276</v>
      </c>
      <c r="G101" s="753">
        <f>SUMIF('Jul17-Jun18 Retail'!$G$7:$G$89,A$95,'Jul17-Jun18 Retail'!$K$7:$K$89)/10</f>
        <v>1310941.2880011569</v>
      </c>
      <c r="I101" s="247">
        <f>VLOOKUP($A$95,'Retail Rates'!$A$7:$L$34,8,FALSE)*10</f>
        <v>2.2778999999999998</v>
      </c>
      <c r="J101" s="216">
        <f>+G101*I101</f>
        <v>2986193.1599378348</v>
      </c>
      <c r="K101" s="216"/>
      <c r="L101" s="247">
        <v>2.1928999999999998</v>
      </c>
      <c r="M101" s="206">
        <f>G101*L101</f>
        <v>2874763.1504577366</v>
      </c>
      <c r="N101" s="646"/>
      <c r="O101" s="217">
        <f>SUM(M97:M98)/N99</f>
        <v>421.70650095602292</v>
      </c>
      <c r="P101" s="646"/>
      <c r="Q101" s="646"/>
      <c r="R101" s="646"/>
    </row>
    <row r="102" spans="1:18" x14ac:dyDescent="0.25">
      <c r="D102" s="193" t="s">
        <v>277</v>
      </c>
      <c r="E102" s="214"/>
      <c r="H102" s="753">
        <f>SUMIF('Jul17-Jun18 Retail'!$G$7:$G$89,$A$95,'Jul17-Jun18 Retail'!$L$7:$L$89)/10</f>
        <v>177864.82009647795</v>
      </c>
      <c r="I102" s="247">
        <f>VLOOKUP($A$95,'Retail Rates'!$A$7:$L$34,9,FALSE)*10</f>
        <v>1.7779</v>
      </c>
      <c r="J102" s="216">
        <f>+I102*H102</f>
        <v>316225.86364952818</v>
      </c>
      <c r="K102" s="216"/>
      <c r="L102" s="247">
        <f>L101+(I102-I101)</f>
        <v>1.6929000000000001</v>
      </c>
      <c r="M102" s="206">
        <f>H102*L102</f>
        <v>301107.35394132754</v>
      </c>
      <c r="N102" s="646"/>
      <c r="O102" s="646"/>
      <c r="P102" s="646"/>
      <c r="Q102" s="646"/>
      <c r="R102" s="646"/>
    </row>
    <row r="103" spans="1:18" x14ac:dyDescent="0.25">
      <c r="H103" s="754"/>
      <c r="J103" s="219"/>
      <c r="K103" s="219"/>
      <c r="L103" s="646"/>
      <c r="M103" s="206"/>
      <c r="N103" s="646"/>
      <c r="O103" s="646"/>
      <c r="P103" s="646"/>
      <c r="Q103" s="646"/>
      <c r="R103" s="646"/>
    </row>
    <row r="104" spans="1:18" x14ac:dyDescent="0.25">
      <c r="H104" s="754"/>
      <c r="J104" s="364"/>
      <c r="K104" s="364"/>
      <c r="L104" s="646"/>
      <c r="M104" s="206"/>
      <c r="N104" s="646"/>
      <c r="O104" s="646"/>
      <c r="P104" s="646"/>
      <c r="Q104" s="646"/>
      <c r="R104" s="646"/>
    </row>
    <row r="105" spans="1:18" x14ac:dyDescent="0.25">
      <c r="D105" s="203" t="s">
        <v>383</v>
      </c>
      <c r="H105" s="754"/>
      <c r="J105" s="365">
        <f>SUM(J97:J103)</f>
        <v>3620719.0235873628</v>
      </c>
      <c r="K105" s="365"/>
      <c r="L105" s="646"/>
      <c r="M105" s="365">
        <f>SUM(M97:M103)</f>
        <v>4499185.504399064</v>
      </c>
      <c r="N105" s="646"/>
      <c r="O105" s="646"/>
      <c r="P105" s="646"/>
      <c r="Q105" s="646"/>
      <c r="R105" s="646"/>
    </row>
    <row r="106" spans="1:18" x14ac:dyDescent="0.25">
      <c r="D106" s="203"/>
      <c r="H106" s="754"/>
      <c r="J106" s="365"/>
      <c r="K106" s="365"/>
      <c r="L106" s="646"/>
      <c r="M106" s="365"/>
      <c r="N106" s="646"/>
      <c r="O106" s="646"/>
      <c r="P106" s="646"/>
      <c r="Q106" s="646"/>
      <c r="R106" s="646"/>
    </row>
    <row r="107" spans="1:18" x14ac:dyDescent="0.25">
      <c r="D107" s="214" t="s">
        <v>716</v>
      </c>
      <c r="H107" s="754"/>
      <c r="I107" s="716">
        <f ca="1">'Revenue Summary B'!N19</f>
        <v>1.0000000015152484</v>
      </c>
      <c r="J107" s="365"/>
      <c r="K107" s="365"/>
      <c r="L107" s="719">
        <f ca="1">I107</f>
        <v>1.0000000015152484</v>
      </c>
      <c r="M107" s="365"/>
      <c r="N107" s="646"/>
      <c r="O107" s="646"/>
      <c r="P107" s="646"/>
      <c r="Q107" s="646"/>
      <c r="R107" s="646"/>
    </row>
    <row r="108" spans="1:18" x14ac:dyDescent="0.25">
      <c r="D108" s="203"/>
      <c r="H108" s="754"/>
      <c r="J108" s="365"/>
      <c r="K108" s="365"/>
      <c r="L108" s="646"/>
      <c r="M108" s="365"/>
      <c r="N108" s="646"/>
      <c r="O108" s="646"/>
      <c r="P108" s="646"/>
      <c r="Q108" s="646"/>
      <c r="R108" s="646"/>
    </row>
    <row r="109" spans="1:18" x14ac:dyDescent="0.25">
      <c r="D109" s="203" t="s">
        <v>717</v>
      </c>
      <c r="H109" s="754"/>
      <c r="J109" s="365">
        <f ca="1">J105/I107</f>
        <v>3620719.0181010743</v>
      </c>
      <c r="K109" s="365"/>
      <c r="L109" s="646"/>
      <c r="M109" s="365">
        <f ca="1">M105/L107</f>
        <v>4499185.4975816803</v>
      </c>
      <c r="N109" s="646"/>
      <c r="O109" s="646"/>
      <c r="P109" s="646"/>
      <c r="Q109" s="646"/>
      <c r="R109" s="646"/>
    </row>
    <row r="110" spans="1:18" x14ac:dyDescent="0.25">
      <c r="H110" s="754"/>
      <c r="J110" s="364"/>
      <c r="K110" s="364"/>
      <c r="L110" s="646"/>
      <c r="M110" s="646"/>
      <c r="N110" s="646"/>
      <c r="O110" s="646"/>
      <c r="P110" s="646"/>
      <c r="Q110" s="646"/>
      <c r="R110" s="646"/>
    </row>
    <row r="111" spans="1:18" x14ac:dyDescent="0.25">
      <c r="H111" s="754"/>
      <c r="J111" s="364"/>
      <c r="K111" s="364"/>
      <c r="L111" s="646"/>
      <c r="M111" s="646"/>
      <c r="N111" s="646"/>
      <c r="O111" s="646"/>
      <c r="P111" s="646"/>
      <c r="Q111" s="646"/>
      <c r="R111" s="646"/>
    </row>
    <row r="112" spans="1:18" x14ac:dyDescent="0.25">
      <c r="A112" s="705" t="s">
        <v>483</v>
      </c>
      <c r="C112" s="201" t="s">
        <v>714</v>
      </c>
      <c r="H112" s="754"/>
      <c r="J112" s="219"/>
      <c r="K112" s="219"/>
      <c r="L112" s="646"/>
      <c r="M112" s="646"/>
      <c r="N112" s="646"/>
      <c r="O112" s="646"/>
      <c r="P112" s="646"/>
      <c r="Q112" s="646"/>
      <c r="R112" s="646"/>
    </row>
    <row r="113" spans="1:18" x14ac:dyDescent="0.25">
      <c r="A113" s="705" t="s">
        <v>607</v>
      </c>
      <c r="D113" s="193" t="s">
        <v>278</v>
      </c>
      <c r="F113" s="751">
        <f>+'Summary SBR-Transport'!B13</f>
        <v>60</v>
      </c>
      <c r="I113" s="205">
        <f>VLOOKUP($A$112,'Retail Rates'!$A$7:$L$34,10,FALSE)</f>
        <v>550</v>
      </c>
      <c r="J113" s="223">
        <f>+F113*I113</f>
        <v>33000</v>
      </c>
      <c r="K113" s="223"/>
      <c r="L113" s="205">
        <v>550</v>
      </c>
      <c r="M113" s="223">
        <f>F113*L113</f>
        <v>33000</v>
      </c>
      <c r="N113" s="646"/>
      <c r="O113" s="646"/>
      <c r="P113" s="646"/>
      <c r="Q113" s="646"/>
      <c r="R113" s="646"/>
    </row>
    <row r="114" spans="1:18" x14ac:dyDescent="0.25">
      <c r="D114" s="215" t="s">
        <v>275</v>
      </c>
      <c r="F114" s="751">
        <f>F113</f>
        <v>60</v>
      </c>
      <c r="I114" s="205">
        <f>I98</f>
        <v>180</v>
      </c>
      <c r="J114" s="223">
        <f>+F114*I114</f>
        <v>10800</v>
      </c>
      <c r="K114" s="223"/>
      <c r="L114" s="205">
        <f>L98</f>
        <v>750</v>
      </c>
      <c r="M114" s="223">
        <f>F114*L114</f>
        <v>45000</v>
      </c>
      <c r="N114" s="646"/>
      <c r="O114" s="646"/>
      <c r="P114" s="646"/>
      <c r="Q114" s="646"/>
      <c r="R114" s="646"/>
    </row>
    <row r="115" spans="1:18" x14ac:dyDescent="0.25">
      <c r="J115" s="219"/>
      <c r="K115" s="219"/>
      <c r="L115" s="646"/>
      <c r="M115" s="223"/>
      <c r="N115" s="646"/>
      <c r="O115" s="646"/>
      <c r="P115" s="646"/>
      <c r="Q115" s="646"/>
      <c r="R115" s="646"/>
    </row>
    <row r="116" spans="1:18" x14ac:dyDescent="0.25">
      <c r="D116" s="193" t="s">
        <v>0</v>
      </c>
      <c r="J116" s="219"/>
      <c r="K116" s="219"/>
      <c r="L116" s="646"/>
      <c r="M116" s="223"/>
      <c r="N116" s="646"/>
      <c r="O116" s="646"/>
      <c r="P116" s="646"/>
      <c r="Q116" s="646"/>
      <c r="R116" s="646"/>
    </row>
    <row r="117" spans="1:18" x14ac:dyDescent="0.25">
      <c r="C117" s="701"/>
      <c r="D117" s="193" t="s">
        <v>276</v>
      </c>
      <c r="G117" s="753">
        <f>SUMIF('Jul17-Jun18 Transport'!$G$7:$G$89,$A112,'Jul17-Jun18 Transport'!$K$7:$K$89)/10</f>
        <v>176686.94483145289</v>
      </c>
      <c r="H117" s="753"/>
      <c r="I117" s="247">
        <f>VLOOKUP($A$95,'Retail Rates'!$A$7:$L$34,8,FALSE)*10</f>
        <v>2.2778999999999998</v>
      </c>
      <c r="J117" s="223">
        <f>+G117*I117</f>
        <v>402475.1916315665</v>
      </c>
      <c r="K117" s="223"/>
      <c r="L117" s="247">
        <f>L101</f>
        <v>2.1928999999999998</v>
      </c>
      <c r="M117" s="223">
        <f>G117*L117</f>
        <v>387456.80132089299</v>
      </c>
      <c r="N117" s="646"/>
      <c r="O117" s="646"/>
      <c r="P117" s="646"/>
      <c r="Q117" s="646"/>
      <c r="R117" s="646"/>
    </row>
    <row r="118" spans="1:18" x14ac:dyDescent="0.25">
      <c r="C118" s="701"/>
      <c r="D118" s="193" t="s">
        <v>277</v>
      </c>
      <c r="E118" s="214"/>
      <c r="H118" s="753">
        <f>SUMIF('Jul17-Jun18 Transport'!$G$7:$G$89,$A112,'Jul17-Jun18 Transport'!$L$7:$L$89)/10</f>
        <v>283240.35893650242</v>
      </c>
      <c r="I118" s="247">
        <f>VLOOKUP($A$95,'Retail Rates'!$A$7:$L$34,9,FALSE)*10</f>
        <v>1.7779</v>
      </c>
      <c r="J118" s="223">
        <f>+I118*H118</f>
        <v>503573.03415320767</v>
      </c>
      <c r="K118" s="223"/>
      <c r="L118" s="247">
        <f>L102</f>
        <v>1.6929000000000001</v>
      </c>
      <c r="M118" s="223">
        <f>H118*L118</f>
        <v>479497.60364360496</v>
      </c>
      <c r="N118" s="646"/>
      <c r="O118" s="646"/>
      <c r="P118" s="646"/>
      <c r="Q118" s="646"/>
      <c r="R118" s="646"/>
    </row>
    <row r="119" spans="1:18" x14ac:dyDescent="0.25">
      <c r="H119" s="754"/>
      <c r="J119" s="219"/>
      <c r="K119" s="219"/>
      <c r="L119" s="646"/>
      <c r="M119" s="223"/>
      <c r="N119" s="646"/>
      <c r="O119" s="646"/>
      <c r="P119" s="646"/>
      <c r="Q119" s="646"/>
      <c r="R119" s="646"/>
    </row>
    <row r="120" spans="1:18" x14ac:dyDescent="0.25">
      <c r="I120" s="212"/>
      <c r="J120" s="366"/>
      <c r="K120" s="366"/>
      <c r="L120" s="646"/>
      <c r="M120" s="223"/>
      <c r="N120" s="646"/>
      <c r="O120" s="646"/>
      <c r="P120" s="646"/>
      <c r="Q120" s="646"/>
      <c r="R120" s="646"/>
    </row>
    <row r="121" spans="1:18" x14ac:dyDescent="0.25">
      <c r="D121" s="203" t="s">
        <v>383</v>
      </c>
      <c r="I121" s="212"/>
      <c r="J121" s="367">
        <f>SUM(J113:J120)</f>
        <v>949848.22578477417</v>
      </c>
      <c r="K121" s="367"/>
      <c r="L121" s="646"/>
      <c r="M121" s="367">
        <f>SUM(M113:M120)</f>
        <v>944954.40496449801</v>
      </c>
      <c r="N121" s="646"/>
      <c r="O121" s="646"/>
      <c r="P121" s="646"/>
      <c r="Q121" s="646"/>
      <c r="R121" s="646"/>
    </row>
    <row r="122" spans="1:18" x14ac:dyDescent="0.25">
      <c r="D122" s="203"/>
      <c r="I122" s="212"/>
      <c r="J122" s="367"/>
      <c r="K122" s="367"/>
      <c r="L122" s="646"/>
      <c r="M122" s="367"/>
      <c r="N122" s="646"/>
      <c r="O122" s="646"/>
      <c r="P122" s="646"/>
      <c r="Q122" s="646"/>
      <c r="R122" s="646"/>
    </row>
    <row r="123" spans="1:18" x14ac:dyDescent="0.25">
      <c r="D123" s="214" t="s">
        <v>716</v>
      </c>
      <c r="I123" s="716">
        <f ca="1">'Revenue Summary B'!N19</f>
        <v>1.0000000015152484</v>
      </c>
      <c r="J123" s="367"/>
      <c r="K123" s="367"/>
      <c r="L123" s="719">
        <f ca="1">I123</f>
        <v>1.0000000015152484</v>
      </c>
      <c r="M123" s="367"/>
      <c r="N123" s="646"/>
      <c r="O123" s="646"/>
      <c r="P123" s="646"/>
      <c r="Q123" s="646"/>
      <c r="R123" s="646"/>
    </row>
    <row r="124" spans="1:18" x14ac:dyDescent="0.25">
      <c r="D124" s="320"/>
      <c r="I124" s="212"/>
      <c r="J124" s="367"/>
      <c r="K124" s="367"/>
      <c r="L124" s="646"/>
      <c r="M124" s="367"/>
      <c r="N124" s="646"/>
      <c r="O124" s="646"/>
      <c r="P124" s="646"/>
      <c r="Q124" s="646"/>
      <c r="R124" s="646"/>
    </row>
    <row r="125" spans="1:18" x14ac:dyDescent="0.25">
      <c r="D125" s="203" t="s">
        <v>717</v>
      </c>
      <c r="I125" s="212"/>
      <c r="J125" s="367">
        <f ca="1">J121/I123</f>
        <v>949848.22434551816</v>
      </c>
      <c r="K125" s="367"/>
      <c r="L125" s="646"/>
      <c r="M125" s="367">
        <f ca="1">M121/L123</f>
        <v>944954.40353265742</v>
      </c>
      <c r="N125" s="646"/>
      <c r="O125" s="646"/>
      <c r="P125" s="646"/>
      <c r="Q125" s="646"/>
      <c r="R125" s="646"/>
    </row>
    <row r="126" spans="1:18" x14ac:dyDescent="0.25">
      <c r="I126" s="212"/>
      <c r="J126" s="224"/>
      <c r="K126" s="224"/>
      <c r="L126" s="646"/>
      <c r="M126" s="223"/>
      <c r="N126" s="646"/>
      <c r="O126" s="646"/>
      <c r="P126" s="646"/>
      <c r="Q126" s="646"/>
      <c r="R126" s="646"/>
    </row>
    <row r="127" spans="1:18" x14ac:dyDescent="0.25">
      <c r="D127" s="207" t="s">
        <v>452</v>
      </c>
      <c r="I127" s="212"/>
      <c r="J127" s="206">
        <f ca="1">SUMIF('12-MO Forecast Summary'!$E$6:$E$18,'Sch M-2.3 Pg. 2-9'!$A$95,'12-MO Forecast Summary'!$U$6:$U$18)</f>
        <v>6139166.1253399272</v>
      </c>
      <c r="K127" s="213"/>
      <c r="L127" s="646"/>
      <c r="M127" s="223">
        <f ca="1">J127</f>
        <v>6139166.1253399272</v>
      </c>
      <c r="N127" s="646"/>
      <c r="O127" s="646"/>
      <c r="P127" s="646"/>
      <c r="Q127" s="646"/>
      <c r="R127" s="646"/>
    </row>
    <row r="128" spans="1:18" x14ac:dyDescent="0.25">
      <c r="D128" s="207" t="s">
        <v>415</v>
      </c>
      <c r="I128" s="212"/>
      <c r="J128" s="206">
        <f ca="1">SUMIF('12-MO Forecast Summary'!$E$6:$E$18,'Sch M-2.3 Pg. 2-9'!$A$95,'12-MO Forecast Summary'!$W$6:$W$18)+SUMIF('12-MO Forecast Summary'!E6:E18,'Sch M-2.3 Pg. 2-9'!A112,'12-MO Forecast Summary'!W6:W18)</f>
        <v>1001477.2122162073</v>
      </c>
      <c r="K128" s="218"/>
      <c r="L128" s="646"/>
      <c r="M128" s="223">
        <v>127900</v>
      </c>
      <c r="N128" s="646"/>
      <c r="O128" s="646"/>
      <c r="P128" s="646"/>
      <c r="Q128" s="646"/>
      <c r="R128" s="646"/>
    </row>
    <row r="129" spans="3:18" x14ac:dyDescent="0.25">
      <c r="L129" s="646"/>
      <c r="M129" s="646"/>
      <c r="N129" s="646"/>
      <c r="O129" s="646"/>
      <c r="P129" s="646"/>
      <c r="Q129" s="646"/>
      <c r="R129" s="646"/>
    </row>
    <row r="130" spans="3:18" ht="16.5" thickBot="1" x14ac:dyDescent="0.3">
      <c r="C130" s="203" t="s">
        <v>282</v>
      </c>
      <c r="J130" s="222">
        <f ca="1">J109+J125+J127+J128</f>
        <v>11711210.580002727</v>
      </c>
      <c r="K130" s="210"/>
      <c r="L130" s="646"/>
      <c r="M130" s="222">
        <f ca="1">M109+M125+M127+M128</f>
        <v>11711206.026454266</v>
      </c>
      <c r="N130" s="646"/>
      <c r="O130" s="634"/>
      <c r="P130" s="646"/>
      <c r="Q130" s="646"/>
      <c r="R130" s="646"/>
    </row>
    <row r="131" spans="3:18" ht="16.5" thickTop="1" x14ac:dyDescent="0.25">
      <c r="C131" s="203"/>
      <c r="J131" s="210"/>
      <c r="K131" s="210"/>
      <c r="L131" s="646"/>
      <c r="M131" s="210"/>
      <c r="N131" s="646"/>
      <c r="O131" s="634"/>
      <c r="P131" s="646"/>
      <c r="Q131" s="646"/>
      <c r="R131" s="646"/>
    </row>
    <row r="132" spans="3:18" x14ac:dyDescent="0.25">
      <c r="C132" s="203"/>
      <c r="D132" s="628" t="s">
        <v>702</v>
      </c>
      <c r="J132" s="210"/>
      <c r="K132" s="210"/>
      <c r="L132" s="646"/>
      <c r="M132" s="631">
        <f ca="1">M130-J130</f>
        <v>-4.5535484608262777</v>
      </c>
      <c r="N132" s="646"/>
      <c r="O132" s="634"/>
      <c r="P132" s="646"/>
      <c r="Q132" s="646"/>
      <c r="R132" s="646"/>
    </row>
    <row r="133" spans="3:18" x14ac:dyDescent="0.25">
      <c r="C133" s="203"/>
      <c r="J133" s="210"/>
      <c r="K133" s="210"/>
      <c r="L133" s="646"/>
      <c r="M133" s="630">
        <f ca="1">M132/J130</f>
        <v>-3.8881962114161021E-7</v>
      </c>
      <c r="N133" s="646"/>
      <c r="O133" s="634"/>
      <c r="P133" s="646"/>
      <c r="Q133" s="646"/>
      <c r="R133" s="646"/>
    </row>
    <row r="134" spans="3:18" x14ac:dyDescent="0.25">
      <c r="C134" s="700" t="s">
        <v>704</v>
      </c>
      <c r="J134" s="210"/>
      <c r="K134" s="210"/>
      <c r="L134" s="646"/>
      <c r="M134" s="210"/>
      <c r="N134" s="646"/>
      <c r="O134" s="634"/>
      <c r="P134" s="646"/>
      <c r="Q134" s="646"/>
      <c r="R134" s="646"/>
    </row>
    <row r="135" spans="3:18" x14ac:dyDescent="0.25">
      <c r="C135" s="203"/>
      <c r="D135" s="320"/>
      <c r="E135" s="320"/>
      <c r="F135" s="739"/>
      <c r="G135" s="739"/>
      <c r="H135" s="739"/>
      <c r="I135" s="320"/>
      <c r="J135" s="320"/>
      <c r="K135" s="320"/>
      <c r="L135" s="320"/>
      <c r="N135" s="646"/>
      <c r="O135" s="634"/>
      <c r="P135" s="646"/>
      <c r="Q135" s="646"/>
      <c r="R135" s="646"/>
    </row>
    <row r="136" spans="3:18" x14ac:dyDescent="0.25">
      <c r="C136" s="203"/>
      <c r="D136" s="193" t="s">
        <v>604</v>
      </c>
      <c r="F136" s="751">
        <f>SUMIF('Jul17-Jun18 Transport'!G7:G89,A112,'Jul17-Jun18 Transport'!M7:M89)</f>
        <v>24</v>
      </c>
      <c r="I136" s="205">
        <f>VLOOKUP($A$113,'Retail Rates'!$A$7:$L$34,10,FALSE)</f>
        <v>75</v>
      </c>
      <c r="J136" s="366">
        <f>F136*I136</f>
        <v>1800</v>
      </c>
      <c r="K136" s="366"/>
      <c r="L136" s="205">
        <v>75</v>
      </c>
      <c r="M136" s="223">
        <f>F136*L136</f>
        <v>1800</v>
      </c>
      <c r="N136" s="646"/>
      <c r="O136" s="634"/>
      <c r="P136" s="646"/>
      <c r="Q136" s="646"/>
      <c r="R136" s="646"/>
    </row>
    <row r="137" spans="3:18" x14ac:dyDescent="0.25">
      <c r="C137" s="203"/>
      <c r="I137" s="205"/>
      <c r="J137" s="366"/>
      <c r="K137" s="366"/>
      <c r="L137" s="205"/>
      <c r="M137" s="223"/>
      <c r="N137" s="646"/>
      <c r="O137" s="634"/>
      <c r="P137" s="646"/>
      <c r="Q137" s="646"/>
      <c r="R137" s="646"/>
    </row>
    <row r="138" spans="3:18" ht="16.5" thickBot="1" x14ac:dyDescent="0.3">
      <c r="C138" s="203"/>
      <c r="D138" s="203" t="s">
        <v>434</v>
      </c>
      <c r="I138" s="205"/>
      <c r="J138" s="222">
        <f>SUM(J136:J137)</f>
        <v>1800</v>
      </c>
      <c r="K138" s="366"/>
      <c r="L138" s="205"/>
      <c r="M138" s="222">
        <f>SUM(M136:M137)</f>
        <v>1800</v>
      </c>
      <c r="N138" s="646"/>
      <c r="O138" s="634"/>
      <c r="P138" s="646"/>
      <c r="Q138" s="646"/>
      <c r="R138" s="646"/>
    </row>
    <row r="139" spans="3:18" ht="16.5" thickTop="1" x14ac:dyDescent="0.25">
      <c r="C139" s="203"/>
      <c r="J139" s="210"/>
      <c r="K139" s="210"/>
      <c r="L139" s="646"/>
      <c r="M139" s="210"/>
      <c r="N139" s="646"/>
      <c r="O139" s="634"/>
      <c r="P139" s="646"/>
      <c r="Q139" s="646"/>
      <c r="R139" s="646"/>
    </row>
    <row r="140" spans="3:18" x14ac:dyDescent="0.25">
      <c r="C140" s="203"/>
      <c r="D140" s="628" t="s">
        <v>702</v>
      </c>
      <c r="J140" s="210"/>
      <c r="K140" s="210"/>
      <c r="L140" s="646"/>
      <c r="M140" s="635">
        <f>M138-J138</f>
        <v>0</v>
      </c>
      <c r="N140" s="646"/>
      <c r="O140" s="634"/>
      <c r="P140" s="646"/>
      <c r="Q140" s="646"/>
      <c r="R140" s="646"/>
    </row>
    <row r="141" spans="3:18" x14ac:dyDescent="0.25">
      <c r="C141" s="203"/>
      <c r="J141" s="210"/>
      <c r="K141" s="210"/>
      <c r="L141" s="646"/>
      <c r="M141" s="636">
        <f>M140/J138</f>
        <v>0</v>
      </c>
      <c r="N141" s="646"/>
      <c r="O141" s="634"/>
      <c r="P141" s="646"/>
      <c r="Q141" s="646"/>
      <c r="R141" s="646"/>
    </row>
    <row r="142" spans="3:18" x14ac:dyDescent="0.25">
      <c r="L142" s="646"/>
      <c r="M142" s="646"/>
      <c r="N142" s="646"/>
      <c r="O142" s="646"/>
      <c r="P142" s="646"/>
      <c r="Q142" s="646"/>
      <c r="R142" s="646"/>
    </row>
    <row r="143" spans="3:18" x14ac:dyDescent="0.25">
      <c r="C143" s="707" t="s">
        <v>553</v>
      </c>
      <c r="D143" s="321"/>
      <c r="E143" s="321"/>
      <c r="F143" s="749"/>
      <c r="G143" s="749"/>
      <c r="H143" s="749"/>
      <c r="I143" s="321"/>
      <c r="L143" s="646"/>
      <c r="M143" s="708" t="str">
        <f>M83</f>
        <v>EXHIBIT 6</v>
      </c>
      <c r="N143" s="646"/>
      <c r="O143" s="646"/>
      <c r="P143" s="646"/>
      <c r="Q143" s="646"/>
      <c r="R143" s="646"/>
    </row>
    <row r="144" spans="3:18" x14ac:dyDescent="0.25">
      <c r="C144" s="709" t="s">
        <v>450</v>
      </c>
      <c r="D144" s="321"/>
      <c r="E144" s="321"/>
      <c r="F144" s="749"/>
      <c r="G144" s="749"/>
      <c r="H144" s="749"/>
      <c r="I144" s="321"/>
      <c r="L144" s="646"/>
      <c r="M144" s="708" t="s">
        <v>728</v>
      </c>
      <c r="N144" s="646"/>
      <c r="O144" s="646"/>
      <c r="P144" s="646"/>
      <c r="Q144" s="646"/>
      <c r="R144" s="646"/>
    </row>
    <row r="145" spans="1:18" x14ac:dyDescent="0.25">
      <c r="C145" s="709" t="s">
        <v>451</v>
      </c>
      <c r="D145" s="321"/>
      <c r="E145" s="321"/>
      <c r="F145" s="749"/>
      <c r="G145" s="749"/>
      <c r="H145" s="749"/>
      <c r="I145" s="321"/>
      <c r="L145" s="646"/>
      <c r="M145" s="710">
        <f>M85</f>
        <v>0</v>
      </c>
      <c r="N145" s="646"/>
      <c r="O145" s="646"/>
      <c r="P145" s="646"/>
      <c r="Q145" s="646"/>
      <c r="R145" s="646"/>
    </row>
    <row r="146" spans="1:18" x14ac:dyDescent="0.25">
      <c r="C146" s="711"/>
      <c r="D146" s="712"/>
      <c r="E146" s="713"/>
      <c r="F146" s="750"/>
      <c r="G146" s="726"/>
      <c r="H146" s="726"/>
      <c r="I146" s="827"/>
      <c r="J146" s="828"/>
      <c r="K146" s="714"/>
      <c r="L146" s="646"/>
      <c r="M146" s="646"/>
      <c r="N146" s="646"/>
      <c r="O146" s="646"/>
      <c r="P146" s="646"/>
      <c r="Q146" s="646"/>
      <c r="R146" s="646"/>
    </row>
    <row r="147" spans="1:18" x14ac:dyDescent="0.25">
      <c r="L147" s="646"/>
      <c r="M147" s="646"/>
      <c r="N147" s="646"/>
      <c r="O147" s="646"/>
      <c r="P147" s="646"/>
      <c r="Q147" s="646"/>
      <c r="R147" s="646"/>
    </row>
    <row r="148" spans="1:18" ht="16.5" thickBot="1" x14ac:dyDescent="0.3">
      <c r="J148" s="194" t="s">
        <v>231</v>
      </c>
      <c r="K148" s="194"/>
      <c r="L148" s="829" t="s">
        <v>776</v>
      </c>
      <c r="M148" s="829"/>
      <c r="N148" s="646"/>
      <c r="O148" s="646"/>
      <c r="P148" s="646"/>
      <c r="Q148" s="646"/>
      <c r="R148" s="646"/>
    </row>
    <row r="149" spans="1:18" x14ac:dyDescent="0.25">
      <c r="J149" s="194" t="s">
        <v>148</v>
      </c>
      <c r="K149" s="194"/>
      <c r="L149" s="194"/>
      <c r="M149" s="646"/>
      <c r="N149" s="646"/>
      <c r="O149" s="646"/>
      <c r="P149" s="646"/>
      <c r="Q149" s="646"/>
      <c r="R149" s="646"/>
    </row>
    <row r="150" spans="1:18" x14ac:dyDescent="0.25">
      <c r="F150" s="248" t="s">
        <v>605</v>
      </c>
      <c r="G150" s="195"/>
      <c r="H150" s="195" t="s">
        <v>323</v>
      </c>
      <c r="I150" s="194" t="s">
        <v>265</v>
      </c>
      <c r="J150" s="196" t="s">
        <v>266</v>
      </c>
      <c r="K150" s="196"/>
      <c r="L150" s="590" t="s">
        <v>618</v>
      </c>
      <c r="M150" s="590" t="s">
        <v>231</v>
      </c>
      <c r="N150" s="646"/>
      <c r="O150" s="646"/>
      <c r="P150" s="646"/>
      <c r="Q150" s="646"/>
      <c r="R150" s="646"/>
    </row>
    <row r="151" spans="1:18" ht="16.5" thickBot="1" x14ac:dyDescent="0.3">
      <c r="C151" s="197" t="s">
        <v>152</v>
      </c>
      <c r="D151" s="197"/>
      <c r="E151" s="197"/>
      <c r="F151" s="727" t="s">
        <v>606</v>
      </c>
      <c r="G151" s="198" t="s">
        <v>147</v>
      </c>
      <c r="H151" s="198" t="s">
        <v>147</v>
      </c>
      <c r="I151" s="199" t="s">
        <v>267</v>
      </c>
      <c r="J151" s="199" t="s">
        <v>267</v>
      </c>
      <c r="K151" s="199"/>
      <c r="L151" s="645" t="s">
        <v>619</v>
      </c>
      <c r="M151" s="645" t="s">
        <v>148</v>
      </c>
      <c r="N151" s="646"/>
      <c r="O151" s="646"/>
      <c r="P151" s="646"/>
      <c r="Q151" s="646"/>
      <c r="R151" s="646"/>
    </row>
    <row r="152" spans="1:18" x14ac:dyDescent="0.25">
      <c r="L152" s="646"/>
      <c r="M152" s="646"/>
      <c r="N152" s="646"/>
      <c r="O152" s="646"/>
      <c r="P152" s="646"/>
      <c r="Q152" s="646"/>
      <c r="R152" s="646"/>
    </row>
    <row r="153" spans="1:18" x14ac:dyDescent="0.25">
      <c r="C153" s="704" t="s">
        <v>713</v>
      </c>
      <c r="L153" s="646"/>
      <c r="M153" s="646"/>
      <c r="N153" s="646"/>
      <c r="O153" s="646"/>
      <c r="P153" s="646"/>
      <c r="Q153" s="646"/>
      <c r="R153" s="646"/>
    </row>
    <row r="154" spans="1:18" x14ac:dyDescent="0.25">
      <c r="L154" s="646"/>
      <c r="M154" s="646"/>
      <c r="N154" s="646"/>
      <c r="O154" s="646"/>
      <c r="P154" s="646"/>
      <c r="Q154" s="646"/>
      <c r="R154" s="646"/>
    </row>
    <row r="155" spans="1:18" x14ac:dyDescent="0.25">
      <c r="A155" s="320" t="s">
        <v>102</v>
      </c>
      <c r="C155" s="209" t="s">
        <v>322</v>
      </c>
      <c r="L155" s="646"/>
      <c r="M155" s="646"/>
      <c r="N155" s="646"/>
      <c r="O155" s="646"/>
      <c r="P155" s="646"/>
      <c r="Q155" s="646"/>
      <c r="R155" s="646"/>
    </row>
    <row r="156" spans="1:18" x14ac:dyDescent="0.25">
      <c r="A156" s="705" t="s">
        <v>112</v>
      </c>
      <c r="D156" s="204" t="s">
        <v>325</v>
      </c>
      <c r="F156" s="753"/>
      <c r="L156" s="646"/>
      <c r="M156" s="216"/>
      <c r="N156" s="646"/>
      <c r="O156" s="646"/>
      <c r="P156" s="646"/>
      <c r="Q156" s="646"/>
      <c r="R156" s="646"/>
    </row>
    <row r="157" spans="1:18" x14ac:dyDescent="0.25">
      <c r="D157" s="193" t="s">
        <v>426</v>
      </c>
      <c r="F157" s="755">
        <f ca="1">SUMIF('12-MO Forecast Summary'!$E$6:$E$18,$A155,'12-MO Forecast Summary'!$F$6:$F$18)</f>
        <v>48</v>
      </c>
      <c r="I157" s="205">
        <f>VLOOKUP($A$155,'Retail Rates'!$A$7:$L$34,6,FALSE)</f>
        <v>400</v>
      </c>
      <c r="J157" s="216">
        <f ca="1">F157*I157</f>
        <v>19200</v>
      </c>
      <c r="K157" s="216"/>
      <c r="L157" s="205">
        <v>500</v>
      </c>
      <c r="M157" s="216">
        <f ca="1">F157*L157</f>
        <v>24000</v>
      </c>
      <c r="N157" s="646"/>
      <c r="O157" s="646"/>
      <c r="P157" s="646"/>
      <c r="Q157" s="646"/>
      <c r="R157" s="646"/>
    </row>
    <row r="158" spans="1:18" x14ac:dyDescent="0.25">
      <c r="D158" s="214"/>
      <c r="E158" s="343"/>
      <c r="I158" s="205"/>
      <c r="J158" s="216"/>
      <c r="K158" s="216"/>
      <c r="L158" s="646"/>
      <c r="M158" s="216"/>
      <c r="N158" s="646"/>
      <c r="O158" s="646"/>
      <c r="P158" s="646"/>
      <c r="Q158" s="646"/>
      <c r="R158" s="646"/>
    </row>
    <row r="159" spans="1:18" x14ac:dyDescent="0.25">
      <c r="L159" s="646"/>
      <c r="M159" s="216"/>
      <c r="N159" s="646"/>
      <c r="O159" s="646"/>
      <c r="P159" s="646"/>
      <c r="Q159" s="646"/>
      <c r="R159" s="646"/>
    </row>
    <row r="160" spans="1:18" x14ac:dyDescent="0.25">
      <c r="D160" s="193" t="s">
        <v>0</v>
      </c>
      <c r="G160" s="753">
        <f ca="1">SUMIF('12-MO Forecast Summary'!$E$6:$E$18,$A155,'12-MO Forecast Summary'!$I$6:$I$18)/10+SUMIF('12-MO Forecast Summary'!$E$6:$E$18,$A156,'12-MO Forecast Summary'!$I$6:$I$18)/10</f>
        <v>128433.3802244619</v>
      </c>
      <c r="I160" s="247">
        <f>VLOOKUP(A155,'Retail Rates'!$A$7:$L$34,8,FALSE)*10</f>
        <v>0.70089999999999997</v>
      </c>
      <c r="J160" s="216">
        <f ca="1">+G160*I160</f>
        <v>90018.956199325345</v>
      </c>
      <c r="K160" s="216"/>
      <c r="L160" s="247">
        <v>1.0644</v>
      </c>
      <c r="M160" s="216">
        <f ca="1">G160*L160</f>
        <v>136704.48991091724</v>
      </c>
      <c r="N160" s="646"/>
      <c r="O160" s="646"/>
      <c r="P160" s="646"/>
      <c r="Q160" s="646"/>
      <c r="R160" s="646"/>
    </row>
    <row r="161" spans="1:18" x14ac:dyDescent="0.25">
      <c r="J161" s="219"/>
      <c r="K161" s="219"/>
      <c r="L161" s="634"/>
      <c r="M161" s="216"/>
      <c r="N161" s="646"/>
      <c r="O161" s="646"/>
      <c r="P161" s="646"/>
      <c r="Q161" s="646"/>
      <c r="R161" s="646"/>
    </row>
    <row r="162" spans="1:18" x14ac:dyDescent="0.25">
      <c r="J162" s="364"/>
      <c r="K162" s="364"/>
      <c r="L162" s="646"/>
      <c r="M162" s="216"/>
      <c r="N162" s="646"/>
      <c r="O162" s="646"/>
      <c r="P162" s="646"/>
      <c r="Q162" s="646"/>
      <c r="R162" s="646"/>
    </row>
    <row r="163" spans="1:18" x14ac:dyDescent="0.25">
      <c r="J163" s="364"/>
      <c r="K163" s="364"/>
      <c r="L163" s="646"/>
      <c r="M163" s="216"/>
      <c r="N163" s="646"/>
      <c r="O163" s="646"/>
      <c r="P163" s="646"/>
      <c r="Q163" s="646"/>
      <c r="R163" s="646"/>
    </row>
    <row r="164" spans="1:18" x14ac:dyDescent="0.25">
      <c r="D164" s="203" t="s">
        <v>383</v>
      </c>
      <c r="J164" s="365">
        <f ca="1">SUM(J157:J162)</f>
        <v>109218.95619932534</v>
      </c>
      <c r="K164" s="365"/>
      <c r="L164" s="646"/>
      <c r="M164" s="365">
        <f ca="1">SUM(M157:M162)</f>
        <v>160704.48991091724</v>
      </c>
      <c r="N164" s="646"/>
      <c r="O164" s="646"/>
      <c r="P164" s="646"/>
      <c r="Q164" s="646"/>
      <c r="R164" s="646"/>
    </row>
    <row r="165" spans="1:18" x14ac:dyDescent="0.25">
      <c r="D165" s="203"/>
      <c r="J165" s="365"/>
      <c r="K165" s="365"/>
      <c r="L165" s="646"/>
      <c r="M165" s="365"/>
      <c r="N165" s="646"/>
      <c r="O165" s="646"/>
      <c r="P165" s="646"/>
      <c r="Q165" s="646"/>
      <c r="R165" s="646"/>
    </row>
    <row r="166" spans="1:18" x14ac:dyDescent="0.25">
      <c r="D166" s="214" t="s">
        <v>716</v>
      </c>
      <c r="I166" s="716">
        <f ca="1">'Revenue Summary B'!N26</f>
        <v>1</v>
      </c>
      <c r="J166" s="365"/>
      <c r="K166" s="365"/>
      <c r="L166" s="719">
        <f ca="1">I166</f>
        <v>1</v>
      </c>
      <c r="M166" s="365"/>
      <c r="N166" s="646"/>
      <c r="O166" s="646"/>
      <c r="P166" s="646"/>
      <c r="Q166" s="646"/>
      <c r="R166" s="646"/>
    </row>
    <row r="167" spans="1:18" x14ac:dyDescent="0.25">
      <c r="D167" s="203"/>
      <c r="J167" s="365"/>
      <c r="K167" s="365"/>
      <c r="L167" s="646"/>
      <c r="M167" s="365"/>
      <c r="N167" s="646"/>
      <c r="O167" s="646"/>
      <c r="P167" s="646"/>
      <c r="Q167" s="646"/>
      <c r="R167" s="646"/>
    </row>
    <row r="168" spans="1:18" x14ac:dyDescent="0.25">
      <c r="D168" s="203" t="s">
        <v>717</v>
      </c>
      <c r="J168" s="365">
        <f ca="1">J164/I166</f>
        <v>109218.95619932534</v>
      </c>
      <c r="K168" s="365"/>
      <c r="L168" s="646"/>
      <c r="M168" s="365">
        <f ca="1">M164/L166</f>
        <v>160704.48991091724</v>
      </c>
      <c r="N168" s="646"/>
      <c r="O168" s="646"/>
      <c r="P168" s="646"/>
      <c r="Q168" s="646"/>
      <c r="R168" s="646"/>
    </row>
    <row r="169" spans="1:18" x14ac:dyDescent="0.25">
      <c r="J169" s="219"/>
      <c r="K169" s="219"/>
      <c r="L169" s="646"/>
      <c r="M169" s="216"/>
      <c r="N169" s="646"/>
      <c r="O169" s="646"/>
      <c r="P169" s="646"/>
      <c r="Q169" s="646"/>
      <c r="R169" s="646"/>
    </row>
    <row r="170" spans="1:18" x14ac:dyDescent="0.25">
      <c r="C170" s="201" t="s">
        <v>711</v>
      </c>
      <c r="L170" s="646"/>
      <c r="M170" s="216"/>
      <c r="N170" s="646"/>
      <c r="O170" s="646"/>
      <c r="P170" s="646"/>
      <c r="Q170" s="646"/>
      <c r="R170" s="646"/>
    </row>
    <row r="171" spans="1:18" x14ac:dyDescent="0.25">
      <c r="C171" s="201"/>
      <c r="D171" s="193" t="s">
        <v>426</v>
      </c>
      <c r="F171" s="751">
        <f>SUMIF('12-MO Forecast Summary'!E6:E18,A173,'12-MO Forecast Summary'!F6:F18)</f>
        <v>24</v>
      </c>
      <c r="I171" s="205">
        <v>400</v>
      </c>
      <c r="J171" s="206">
        <f>F171*I171</f>
        <v>9600</v>
      </c>
      <c r="K171" s="206"/>
      <c r="L171" s="205">
        <f>L157</f>
        <v>500</v>
      </c>
      <c r="M171" s="216">
        <f>F171*L171</f>
        <v>12000</v>
      </c>
      <c r="N171" s="646"/>
      <c r="O171" s="646"/>
      <c r="P171" s="646"/>
      <c r="Q171" s="646"/>
      <c r="R171" s="646"/>
    </row>
    <row r="172" spans="1:18" x14ac:dyDescent="0.25">
      <c r="C172" s="201"/>
      <c r="D172" s="193" t="s">
        <v>384</v>
      </c>
      <c r="F172" s="751">
        <f>F171</f>
        <v>24</v>
      </c>
      <c r="I172" s="205">
        <f>VLOOKUP($A$112,'Retail Rates'!$A$7:$L$34,10,FALSE)</f>
        <v>550</v>
      </c>
      <c r="J172" s="206">
        <f>F172*I172</f>
        <v>13200</v>
      </c>
      <c r="K172" s="206"/>
      <c r="L172" s="205">
        <v>550</v>
      </c>
      <c r="M172" s="216">
        <f>F172*L172</f>
        <v>13200</v>
      </c>
      <c r="N172" s="646"/>
      <c r="O172" s="646"/>
      <c r="P172" s="646"/>
      <c r="Q172" s="646"/>
      <c r="R172" s="646"/>
    </row>
    <row r="173" spans="1:18" x14ac:dyDescent="0.25">
      <c r="A173" s="320" t="s">
        <v>479</v>
      </c>
      <c r="C173" s="201"/>
      <c r="D173" s="320"/>
      <c r="F173" s="739"/>
      <c r="I173" s="320"/>
      <c r="L173" s="646"/>
      <c r="M173" s="216"/>
      <c r="N173" s="646"/>
      <c r="O173" s="646"/>
      <c r="P173" s="646"/>
      <c r="Q173" s="646"/>
      <c r="R173" s="646"/>
    </row>
    <row r="174" spans="1:18" x14ac:dyDescent="0.25">
      <c r="C174" s="201"/>
      <c r="J174" s="206"/>
      <c r="K174" s="206"/>
      <c r="L174" s="646"/>
      <c r="M174" s="216"/>
      <c r="N174" s="646"/>
      <c r="O174" s="646"/>
      <c r="P174" s="646"/>
      <c r="Q174" s="646"/>
      <c r="R174" s="646"/>
    </row>
    <row r="175" spans="1:18" x14ac:dyDescent="0.25">
      <c r="C175" s="201"/>
      <c r="D175" s="193" t="s">
        <v>0</v>
      </c>
      <c r="E175" s="219"/>
      <c r="F175" s="756"/>
      <c r="G175" s="753">
        <f>SUMIF('12-MO Forecast Summary'!E6:E18,A173,'12-MO Forecast Summary'!I6:I18)/10</f>
        <v>255682.92084060446</v>
      </c>
      <c r="I175" s="344">
        <f>I160</f>
        <v>0.70089999999999997</v>
      </c>
      <c r="J175" s="206">
        <f>G175*I175</f>
        <v>179208.15921717967</v>
      </c>
      <c r="K175" s="206"/>
      <c r="L175" s="344">
        <f>L160</f>
        <v>1.0644</v>
      </c>
      <c r="M175" s="216">
        <f>+G175*L175</f>
        <v>272148.90094273939</v>
      </c>
      <c r="N175" s="646"/>
      <c r="O175" s="646"/>
      <c r="P175" s="646"/>
      <c r="Q175" s="646"/>
      <c r="R175" s="646"/>
    </row>
    <row r="176" spans="1:18" x14ac:dyDescent="0.25">
      <c r="C176" s="201"/>
      <c r="D176" s="320"/>
      <c r="E176" s="219"/>
      <c r="F176" s="756"/>
      <c r="G176" s="753"/>
      <c r="I176" s="212"/>
      <c r="J176" s="206"/>
      <c r="K176" s="206"/>
      <c r="L176" s="646"/>
      <c r="M176" s="216"/>
      <c r="N176" s="646"/>
      <c r="O176" s="646"/>
      <c r="P176" s="646"/>
      <c r="Q176" s="646"/>
      <c r="R176" s="646"/>
    </row>
    <row r="177" spans="3:18" x14ac:dyDescent="0.25">
      <c r="C177" s="201"/>
      <c r="D177" s="203" t="s">
        <v>383</v>
      </c>
      <c r="E177" s="219"/>
      <c r="F177" s="756"/>
      <c r="G177" s="753"/>
      <c r="I177" s="212"/>
      <c r="J177" s="365">
        <f>SUM(J171:J175)</f>
        <v>202008.15921717967</v>
      </c>
      <c r="K177" s="365"/>
      <c r="L177" s="646"/>
      <c r="M177" s="365">
        <f>SUM(M171:M175)</f>
        <v>297348.90094273939</v>
      </c>
      <c r="N177" s="646"/>
      <c r="O177" s="646"/>
      <c r="P177" s="646"/>
      <c r="Q177" s="646"/>
      <c r="R177" s="646"/>
    </row>
    <row r="178" spans="3:18" x14ac:dyDescent="0.25">
      <c r="C178" s="201"/>
      <c r="D178" s="203"/>
      <c r="E178" s="219"/>
      <c r="F178" s="756"/>
      <c r="G178" s="753"/>
      <c r="I178" s="212"/>
      <c r="J178" s="365"/>
      <c r="K178" s="365"/>
      <c r="L178" s="646"/>
      <c r="M178" s="365"/>
      <c r="N178" s="646"/>
      <c r="O178" s="646"/>
      <c r="P178" s="646"/>
      <c r="Q178" s="646"/>
      <c r="R178" s="646"/>
    </row>
    <row r="179" spans="3:18" x14ac:dyDescent="0.25">
      <c r="C179" s="201"/>
      <c r="D179" s="214" t="s">
        <v>716</v>
      </c>
      <c r="E179" s="219"/>
      <c r="F179" s="756"/>
      <c r="G179" s="753"/>
      <c r="I179" s="716">
        <f ca="1">'Revenue Summary B'!N26</f>
        <v>1</v>
      </c>
      <c r="J179" s="365"/>
      <c r="K179" s="365"/>
      <c r="L179" s="719">
        <f ca="1">I179</f>
        <v>1</v>
      </c>
      <c r="M179" s="365"/>
      <c r="N179" s="646"/>
      <c r="O179" s="646"/>
      <c r="P179" s="646"/>
      <c r="Q179" s="646"/>
      <c r="R179" s="646"/>
    </row>
    <row r="180" spans="3:18" x14ac:dyDescent="0.25">
      <c r="C180" s="201"/>
      <c r="D180" s="203"/>
      <c r="E180" s="219"/>
      <c r="F180" s="756"/>
      <c r="G180" s="753"/>
      <c r="I180" s="212"/>
      <c r="J180" s="365"/>
      <c r="K180" s="365"/>
      <c r="L180" s="646"/>
      <c r="M180" s="365"/>
      <c r="N180" s="646"/>
      <c r="O180" s="646"/>
      <c r="P180" s="646"/>
      <c r="Q180" s="646"/>
      <c r="R180" s="646"/>
    </row>
    <row r="181" spans="3:18" x14ac:dyDescent="0.25">
      <c r="C181" s="201"/>
      <c r="D181" s="203" t="s">
        <v>717</v>
      </c>
      <c r="E181" s="219"/>
      <c r="F181" s="756"/>
      <c r="G181" s="753"/>
      <c r="I181" s="212"/>
      <c r="J181" s="365">
        <f ca="1">J177/I179</f>
        <v>202008.15921717967</v>
      </c>
      <c r="K181" s="365"/>
      <c r="L181" s="646"/>
      <c r="M181" s="365">
        <f ca="1">M177/L179</f>
        <v>297348.90094273939</v>
      </c>
      <c r="N181" s="646"/>
      <c r="O181" s="646"/>
      <c r="P181" s="646"/>
      <c r="Q181" s="646"/>
      <c r="R181" s="646"/>
    </row>
    <row r="182" spans="3:18" x14ac:dyDescent="0.25">
      <c r="C182" s="201"/>
      <c r="D182" s="320"/>
      <c r="E182" s="219"/>
      <c r="F182" s="756"/>
      <c r="G182" s="753"/>
      <c r="I182" s="212"/>
      <c r="J182" s="206"/>
      <c r="K182" s="206"/>
      <c r="L182" s="646"/>
      <c r="M182" s="216"/>
      <c r="N182" s="646"/>
      <c r="O182" s="646"/>
      <c r="P182" s="646"/>
      <c r="Q182" s="646"/>
      <c r="R182" s="646"/>
    </row>
    <row r="183" spans="3:18" x14ac:dyDescent="0.25">
      <c r="D183" s="207" t="s">
        <v>452</v>
      </c>
      <c r="E183" s="320"/>
      <c r="F183" s="739"/>
      <c r="G183" s="739"/>
      <c r="H183" s="739"/>
      <c r="I183" s="320"/>
      <c r="J183" s="206">
        <f ca="1">SUMIF('12-MO Forecast Summary'!$E$6:$E$18,'Sch M-2.3 Pg. 2-9'!$A$155,'12-MO Forecast Summary'!$U$6:$U$18)+SUMIF('12-MO Forecast Summary'!$E$6:$E$18,'Sch M-2.3 Pg. 2-9'!$A$156,'12-MO Forecast Summary'!$U$6:$U$18)</f>
        <v>504944.4958231686</v>
      </c>
      <c r="K183" s="216"/>
      <c r="L183" s="646"/>
      <c r="M183" s="216">
        <f ca="1">J183</f>
        <v>504944.4958231686</v>
      </c>
      <c r="N183" s="646"/>
      <c r="O183" s="646"/>
      <c r="P183" s="646"/>
      <c r="Q183" s="646"/>
      <c r="R183" s="646"/>
    </row>
    <row r="184" spans="3:18" x14ac:dyDescent="0.25">
      <c r="D184" s="207" t="s">
        <v>453</v>
      </c>
      <c r="G184" s="753"/>
      <c r="I184" s="208"/>
      <c r="J184" s="206">
        <f ca="1">SUMIF('12-MO Forecast Summary'!$E$6:$E$18,'Sch M-2.3 Pg. 2-9'!$A$155,'12-MO Forecast Summary'!$V$6:$V$18)+SUMIF('12-MO Forecast Summary'!$E$6:$E$18,'Sch M-2.3 Pg. 2-9'!$A$156,'12-MO Forecast Summary'!$V$6:$V$18)</f>
        <v>10394.581739040445</v>
      </c>
      <c r="K184" s="216"/>
      <c r="L184" s="646"/>
      <c r="M184" s="216">
        <f t="shared" ref="M184" ca="1" si="1">J184</f>
        <v>10394.581739040445</v>
      </c>
      <c r="N184" s="646"/>
      <c r="O184" s="646"/>
      <c r="P184" s="646"/>
      <c r="Q184" s="646"/>
      <c r="R184" s="646"/>
    </row>
    <row r="185" spans="3:18" x14ac:dyDescent="0.25">
      <c r="D185" s="207" t="s">
        <v>415</v>
      </c>
      <c r="G185" s="753"/>
      <c r="I185" s="208"/>
      <c r="J185" s="206">
        <f ca="1">SUMIF('12-MO Forecast Summary'!$E$6:$E$18,'Sch M-2.3 Pg. 2-9'!$A$155,'12-MO Forecast Summary'!$W$6:$W$18)+SUMIF('12-MO Forecast Summary'!$E$6:$E$18,'Sch M-2.3 Pg. 2-9'!$A$156,'12-MO Forecast Summary'!$W$6:$W$18)+SUMIF('12-MO Forecast Summary'!E6:E18,'Sch M-2.3 Pg. 2-9'!A173,'12-MO Forecast Summary'!W6:W18)</f>
        <v>250361.27633132337</v>
      </c>
      <c r="K185" s="216"/>
      <c r="L185" s="646"/>
      <c r="M185" s="216">
        <v>31974</v>
      </c>
      <c r="N185" s="646"/>
      <c r="O185" s="646"/>
      <c r="P185" s="646"/>
      <c r="Q185" s="646"/>
      <c r="R185" s="646"/>
    </row>
    <row r="186" spans="3:18" x14ac:dyDescent="0.25">
      <c r="D186" s="320"/>
      <c r="E186" s="219"/>
      <c r="F186" s="756"/>
      <c r="G186" s="756"/>
      <c r="I186" s="217"/>
      <c r="J186" s="206"/>
      <c r="K186" s="206"/>
      <c r="L186" s="646"/>
      <c r="M186" s="216"/>
      <c r="N186" s="646"/>
      <c r="O186" s="646"/>
      <c r="P186" s="646"/>
      <c r="Q186" s="646"/>
      <c r="R186" s="646"/>
    </row>
    <row r="187" spans="3:18" x14ac:dyDescent="0.25">
      <c r="E187" s="219"/>
      <c r="F187" s="756"/>
      <c r="G187" s="756"/>
      <c r="H187" s="739"/>
      <c r="I187" s="320"/>
      <c r="J187" s="320"/>
      <c r="K187" s="320"/>
      <c r="L187" s="646"/>
      <c r="M187" s="216"/>
      <c r="N187" s="646"/>
      <c r="O187" s="646"/>
      <c r="P187" s="646"/>
      <c r="Q187" s="646"/>
      <c r="R187" s="646"/>
    </row>
    <row r="188" spans="3:18" ht="16.5" thickBot="1" x14ac:dyDescent="0.3">
      <c r="C188" s="203" t="s">
        <v>283</v>
      </c>
      <c r="E188" s="219"/>
      <c r="F188" s="756"/>
      <c r="G188" s="756"/>
      <c r="J188" s="222">
        <f ca="1">J168+J181+SUM(J183:J185)</f>
        <v>1076927.4693100373</v>
      </c>
      <c r="K188" s="210"/>
      <c r="L188" s="646"/>
      <c r="M188" s="222">
        <f ca="1">M168+M181+SUM(M183:M185)</f>
        <v>1005366.4684158657</v>
      </c>
      <c r="N188" s="646"/>
      <c r="O188" s="634"/>
      <c r="P188" s="646"/>
      <c r="Q188" s="646"/>
      <c r="R188" s="646"/>
    </row>
    <row r="189" spans="3:18" ht="16.5" thickTop="1" x14ac:dyDescent="0.25">
      <c r="C189" s="203"/>
      <c r="E189" s="219"/>
      <c r="F189" s="756"/>
      <c r="G189" s="756"/>
      <c r="J189" s="210"/>
      <c r="K189" s="210"/>
      <c r="L189" s="646"/>
      <c r="M189" s="216"/>
      <c r="N189" s="646"/>
      <c r="O189" s="634"/>
      <c r="P189" s="646"/>
      <c r="Q189" s="646"/>
      <c r="R189" s="646"/>
    </row>
    <row r="190" spans="3:18" x14ac:dyDescent="0.25">
      <c r="C190" s="203"/>
      <c r="D190" s="628" t="s">
        <v>702</v>
      </c>
      <c r="E190" s="219"/>
      <c r="F190" s="756"/>
      <c r="G190" s="756"/>
      <c r="J190" s="210"/>
      <c r="K190" s="210"/>
      <c r="L190" s="646"/>
      <c r="M190" s="216">
        <f ca="1">M188-J188</f>
        <v>-71561.000894171651</v>
      </c>
      <c r="N190" s="646"/>
      <c r="O190" s="634"/>
      <c r="P190" s="646"/>
      <c r="Q190" s="646"/>
      <c r="R190" s="646"/>
    </row>
    <row r="191" spans="3:18" x14ac:dyDescent="0.25">
      <c r="C191" s="203"/>
      <c r="E191" s="219"/>
      <c r="F191" s="756"/>
      <c r="G191" s="756"/>
      <c r="J191" s="210"/>
      <c r="K191" s="210"/>
      <c r="L191" s="646"/>
      <c r="M191" s="630">
        <f ca="1">M190/J188</f>
        <v>-6.6449229807481039E-2</v>
      </c>
      <c r="N191" s="646"/>
      <c r="O191" s="634"/>
      <c r="P191" s="646"/>
      <c r="Q191" s="646"/>
      <c r="R191" s="646"/>
    </row>
    <row r="192" spans="3:18" x14ac:dyDescent="0.25">
      <c r="L192" s="646"/>
      <c r="M192" s="646"/>
      <c r="N192" s="646"/>
      <c r="O192" s="646"/>
      <c r="P192" s="646"/>
      <c r="Q192" s="646"/>
      <c r="R192" s="646"/>
    </row>
    <row r="193" spans="1:18" x14ac:dyDescent="0.25">
      <c r="C193" s="707" t="s">
        <v>553</v>
      </c>
      <c r="D193" s="321"/>
      <c r="E193" s="321"/>
      <c r="F193" s="749"/>
      <c r="G193" s="749"/>
      <c r="H193" s="749"/>
      <c r="I193" s="321"/>
      <c r="L193" s="646"/>
      <c r="M193" s="708" t="str">
        <f>M143</f>
        <v>EXHIBIT 6</v>
      </c>
      <c r="N193" s="646"/>
      <c r="O193" s="646"/>
      <c r="P193" s="646"/>
      <c r="Q193" s="646"/>
      <c r="R193" s="646"/>
    </row>
    <row r="194" spans="1:18" x14ac:dyDescent="0.25">
      <c r="C194" s="709" t="s">
        <v>450</v>
      </c>
      <c r="D194" s="321"/>
      <c r="E194" s="321"/>
      <c r="F194" s="749"/>
      <c r="G194" s="749"/>
      <c r="H194" s="749"/>
      <c r="I194" s="321"/>
      <c r="L194" s="646"/>
      <c r="M194" s="708" t="s">
        <v>729</v>
      </c>
      <c r="N194" s="646"/>
      <c r="O194" s="646"/>
      <c r="P194" s="646"/>
      <c r="Q194" s="646"/>
      <c r="R194" s="646"/>
    </row>
    <row r="195" spans="1:18" x14ac:dyDescent="0.25">
      <c r="C195" s="709" t="s">
        <v>451</v>
      </c>
      <c r="D195" s="321"/>
      <c r="E195" s="321"/>
      <c r="F195" s="749"/>
      <c r="G195" s="749"/>
      <c r="H195" s="749"/>
      <c r="I195" s="321"/>
      <c r="L195" s="646"/>
      <c r="M195" s="710">
        <f>M145</f>
        <v>0</v>
      </c>
      <c r="N195" s="646"/>
      <c r="O195" s="646"/>
      <c r="P195" s="646"/>
      <c r="Q195" s="646"/>
      <c r="R195" s="646"/>
    </row>
    <row r="196" spans="1:18" x14ac:dyDescent="0.25">
      <c r="C196" s="711"/>
      <c r="D196" s="712"/>
      <c r="E196" s="713"/>
      <c r="F196" s="750"/>
      <c r="G196" s="726"/>
      <c r="H196" s="726"/>
      <c r="I196" s="827"/>
      <c r="J196" s="828"/>
      <c r="K196" s="714"/>
      <c r="L196" s="646"/>
      <c r="M196" s="646"/>
      <c r="N196" s="646"/>
      <c r="O196" s="646"/>
      <c r="P196" s="646"/>
      <c r="Q196" s="646"/>
      <c r="R196" s="646"/>
    </row>
    <row r="197" spans="1:18" x14ac:dyDescent="0.25">
      <c r="L197" s="646"/>
      <c r="M197" s="646"/>
      <c r="N197" s="646"/>
      <c r="O197" s="646"/>
      <c r="P197" s="646"/>
      <c r="Q197" s="646"/>
      <c r="R197" s="646"/>
    </row>
    <row r="198" spans="1:18" ht="16.5" thickBot="1" x14ac:dyDescent="0.3">
      <c r="J198" s="194" t="s">
        <v>231</v>
      </c>
      <c r="K198" s="194"/>
      <c r="L198" s="829" t="s">
        <v>776</v>
      </c>
      <c r="M198" s="829"/>
      <c r="N198" s="646"/>
      <c r="O198" s="646"/>
      <c r="P198" s="646"/>
      <c r="Q198" s="646"/>
      <c r="R198" s="646"/>
    </row>
    <row r="199" spans="1:18" x14ac:dyDescent="0.25">
      <c r="J199" s="194" t="s">
        <v>148</v>
      </c>
      <c r="K199" s="194"/>
      <c r="L199" s="194"/>
      <c r="M199" s="646"/>
      <c r="N199" s="646"/>
      <c r="O199" s="646"/>
      <c r="P199" s="646"/>
      <c r="Q199" s="646"/>
      <c r="R199" s="646"/>
    </row>
    <row r="200" spans="1:18" x14ac:dyDescent="0.25">
      <c r="F200" s="248" t="s">
        <v>605</v>
      </c>
      <c r="G200" s="195"/>
      <c r="H200" s="195" t="s">
        <v>323</v>
      </c>
      <c r="I200" s="194" t="s">
        <v>265</v>
      </c>
      <c r="J200" s="196" t="s">
        <v>266</v>
      </c>
      <c r="K200" s="196"/>
      <c r="L200" s="590" t="s">
        <v>618</v>
      </c>
      <c r="M200" s="590" t="s">
        <v>231</v>
      </c>
      <c r="N200" s="646"/>
      <c r="O200" s="646"/>
      <c r="P200" s="646"/>
      <c r="Q200" s="646"/>
      <c r="R200" s="646"/>
    </row>
    <row r="201" spans="1:18" ht="16.5" thickBot="1" x14ac:dyDescent="0.3">
      <c r="C201" s="197" t="s">
        <v>152</v>
      </c>
      <c r="D201" s="197"/>
      <c r="E201" s="197"/>
      <c r="F201" s="727" t="s">
        <v>606</v>
      </c>
      <c r="G201" s="198" t="s">
        <v>147</v>
      </c>
      <c r="H201" s="198" t="s">
        <v>147</v>
      </c>
      <c r="I201" s="199" t="s">
        <v>267</v>
      </c>
      <c r="J201" s="199" t="s">
        <v>267</v>
      </c>
      <c r="K201" s="199"/>
      <c r="L201" s="645" t="s">
        <v>619</v>
      </c>
      <c r="M201" s="645" t="s">
        <v>148</v>
      </c>
      <c r="N201" s="646"/>
      <c r="O201" s="646"/>
      <c r="P201" s="646"/>
      <c r="Q201" s="646"/>
      <c r="R201" s="646"/>
    </row>
    <row r="202" spans="1:18" x14ac:dyDescent="0.25">
      <c r="J202" s="320"/>
      <c r="K202" s="320"/>
      <c r="L202" s="646"/>
      <c r="M202" s="646"/>
      <c r="N202" s="646"/>
      <c r="O202" s="646"/>
      <c r="P202" s="646"/>
      <c r="Q202" s="646"/>
      <c r="R202" s="646"/>
    </row>
    <row r="203" spans="1:18" x14ac:dyDescent="0.25">
      <c r="C203" s="700" t="s">
        <v>284</v>
      </c>
      <c r="L203" s="646"/>
      <c r="M203" s="646"/>
      <c r="N203" s="646"/>
      <c r="O203" s="646"/>
      <c r="P203" s="646"/>
      <c r="Q203" s="646"/>
      <c r="R203" s="646"/>
    </row>
    <row r="204" spans="1:18" x14ac:dyDescent="0.25">
      <c r="L204" s="646"/>
      <c r="M204" s="646"/>
      <c r="N204" s="646"/>
      <c r="O204" s="646"/>
      <c r="P204" s="646"/>
      <c r="Q204" s="646"/>
      <c r="R204" s="646"/>
    </row>
    <row r="205" spans="1:18" x14ac:dyDescent="0.25">
      <c r="C205" s="203" t="s">
        <v>285</v>
      </c>
      <c r="L205" s="690"/>
      <c r="M205" s="634"/>
      <c r="N205" s="646"/>
      <c r="O205" s="646"/>
      <c r="P205" s="646"/>
      <c r="Q205" s="646"/>
      <c r="R205" s="646"/>
    </row>
    <row r="206" spans="1:18" x14ac:dyDescent="0.25">
      <c r="C206" s="219"/>
      <c r="L206" s="690"/>
      <c r="M206" s="216"/>
      <c r="N206" s="646"/>
      <c r="O206" s="646"/>
      <c r="P206" s="646"/>
      <c r="Q206" s="646"/>
      <c r="R206" s="646"/>
    </row>
    <row r="207" spans="1:18" x14ac:dyDescent="0.25">
      <c r="L207" s="690"/>
      <c r="M207" s="216"/>
      <c r="N207" s="646"/>
      <c r="O207" s="646"/>
      <c r="P207" s="646"/>
      <c r="Q207" s="646"/>
      <c r="R207" s="646"/>
    </row>
    <row r="208" spans="1:18" x14ac:dyDescent="0.25">
      <c r="A208" s="320" t="s">
        <v>108</v>
      </c>
      <c r="D208" s="193" t="s">
        <v>278</v>
      </c>
      <c r="E208" s="219"/>
      <c r="F208" s="757">
        <f>'Summary SBR-Transport'!B23</f>
        <v>876</v>
      </c>
      <c r="G208" s="756"/>
      <c r="I208" s="205">
        <f>VLOOKUP($A$208,'Retail Rates'!$A$7:$L$34,10,FALSE)</f>
        <v>550</v>
      </c>
      <c r="J208" s="216">
        <f>+F208*I208</f>
        <v>481800</v>
      </c>
      <c r="K208" s="216"/>
      <c r="L208" s="205">
        <v>550</v>
      </c>
      <c r="M208" s="216">
        <f>F208*L208</f>
        <v>481800</v>
      </c>
      <c r="N208" s="646"/>
      <c r="O208" s="646"/>
      <c r="P208" s="646"/>
      <c r="Q208" s="646"/>
      <c r="R208" s="646"/>
    </row>
    <row r="209" spans="1:18" x14ac:dyDescent="0.25">
      <c r="A209" s="320" t="s">
        <v>117</v>
      </c>
      <c r="L209" s="646"/>
      <c r="M209" s="216"/>
      <c r="N209" s="646"/>
      <c r="O209" s="646"/>
      <c r="P209" s="646"/>
      <c r="Q209" s="646"/>
      <c r="R209" s="646"/>
    </row>
    <row r="210" spans="1:18" x14ac:dyDescent="0.25">
      <c r="D210" s="193" t="s">
        <v>0</v>
      </c>
      <c r="G210" s="753">
        <f>'Summary SBR-Transport'!C23</f>
        <v>12313888.497179303</v>
      </c>
      <c r="I210" s="247">
        <f>'Retail Rates'!H51</f>
        <v>0.43020000000000003</v>
      </c>
      <c r="J210" s="216">
        <f>+G210*I210</f>
        <v>5297434.8314865362</v>
      </c>
      <c r="K210" s="216"/>
      <c r="L210" s="247">
        <v>0.44550000000000001</v>
      </c>
      <c r="M210" s="216">
        <f>G210*L210</f>
        <v>5485837.3254933795</v>
      </c>
      <c r="N210" s="646"/>
      <c r="O210" s="646"/>
      <c r="P210" s="646"/>
      <c r="Q210" s="646"/>
      <c r="R210" s="646"/>
    </row>
    <row r="211" spans="1:18" x14ac:dyDescent="0.25">
      <c r="G211" s="753"/>
      <c r="I211" s="208"/>
      <c r="J211" s="216"/>
      <c r="K211" s="216"/>
      <c r="L211" s="646"/>
      <c r="M211" s="216"/>
      <c r="N211" s="646"/>
      <c r="O211" s="646"/>
      <c r="P211" s="646"/>
      <c r="Q211" s="646"/>
      <c r="R211" s="646"/>
    </row>
    <row r="212" spans="1:18" x14ac:dyDescent="0.25">
      <c r="E212" s="221"/>
      <c r="F212" s="758"/>
      <c r="G212" s="758"/>
      <c r="I212" s="208"/>
      <c r="J212" s="364"/>
      <c r="K212" s="364"/>
      <c r="L212" s="646"/>
      <c r="M212" s="216"/>
      <c r="N212" s="646"/>
      <c r="O212" s="646"/>
      <c r="P212" s="646"/>
      <c r="Q212" s="646"/>
      <c r="R212" s="646"/>
    </row>
    <row r="213" spans="1:18" x14ac:dyDescent="0.25">
      <c r="D213" s="203" t="s">
        <v>383</v>
      </c>
      <c r="E213" s="221"/>
      <c r="F213" s="758"/>
      <c r="G213" s="758"/>
      <c r="I213" s="208"/>
      <c r="J213" s="365">
        <f>SUM(J208:J211)</f>
        <v>5779234.8314865362</v>
      </c>
      <c r="K213" s="365"/>
      <c r="L213" s="646"/>
      <c r="M213" s="365">
        <f>SUM(M208:M211)</f>
        <v>5967637.3254933795</v>
      </c>
      <c r="N213" s="646"/>
      <c r="O213" s="646"/>
      <c r="P213" s="646"/>
      <c r="Q213" s="646"/>
      <c r="R213" s="646"/>
    </row>
    <row r="214" spans="1:18" x14ac:dyDescent="0.25">
      <c r="D214" s="203"/>
      <c r="E214" s="221"/>
      <c r="F214" s="758"/>
      <c r="G214" s="758"/>
      <c r="I214" s="208"/>
      <c r="J214" s="365"/>
      <c r="K214" s="365"/>
      <c r="L214" s="646"/>
      <c r="M214" s="365"/>
      <c r="N214" s="646"/>
      <c r="O214" s="646"/>
      <c r="P214" s="646"/>
      <c r="Q214" s="646"/>
      <c r="R214" s="646"/>
    </row>
    <row r="215" spans="1:18" x14ac:dyDescent="0.25">
      <c r="D215" s="214" t="s">
        <v>716</v>
      </c>
      <c r="E215" s="221"/>
      <c r="F215" s="758"/>
      <c r="G215" s="758"/>
      <c r="I215" s="716">
        <f ca="1">'Revenue Summary B'!N30</f>
        <v>1.0000000023496121</v>
      </c>
      <c r="J215" s="365"/>
      <c r="K215" s="365"/>
      <c r="L215" s="716">
        <f ca="1">I215</f>
        <v>1.0000000023496121</v>
      </c>
      <c r="M215" s="365"/>
      <c r="N215" s="646"/>
      <c r="O215" s="646"/>
      <c r="P215" s="646"/>
      <c r="Q215" s="646"/>
      <c r="R215" s="646"/>
    </row>
    <row r="216" spans="1:18" x14ac:dyDescent="0.25">
      <c r="D216" s="203"/>
      <c r="E216" s="221"/>
      <c r="F216" s="758"/>
      <c r="G216" s="758"/>
      <c r="I216" s="208"/>
      <c r="J216" s="365"/>
      <c r="K216" s="365"/>
      <c r="L216" s="646"/>
      <c r="M216" s="365"/>
      <c r="N216" s="646"/>
      <c r="O216" s="646"/>
      <c r="P216" s="646"/>
      <c r="Q216" s="646"/>
      <c r="R216" s="646"/>
    </row>
    <row r="217" spans="1:18" x14ac:dyDescent="0.25">
      <c r="D217" s="203" t="s">
        <v>717</v>
      </c>
      <c r="E217" s="221"/>
      <c r="F217" s="758"/>
      <c r="G217" s="758"/>
      <c r="I217" s="208"/>
      <c r="J217" s="347">
        <f ca="1">J213/I215</f>
        <v>5779234.8179075764</v>
      </c>
      <c r="K217" s="206"/>
      <c r="L217" s="646"/>
      <c r="M217" s="720">
        <f ca="1">M213/L215</f>
        <v>5967637.3114717472</v>
      </c>
      <c r="N217" s="646"/>
      <c r="O217" s="646"/>
      <c r="P217" s="646"/>
      <c r="Q217" s="646"/>
      <c r="R217" s="646"/>
    </row>
    <row r="218" spans="1:18" x14ac:dyDescent="0.25">
      <c r="D218" s="207"/>
      <c r="E218" s="221"/>
      <c r="F218" s="758"/>
      <c r="G218" s="758"/>
      <c r="I218" s="208"/>
      <c r="J218" s="206"/>
      <c r="K218" s="206"/>
      <c r="L218" s="646"/>
      <c r="M218" s="216"/>
      <c r="N218" s="646"/>
      <c r="O218" s="646"/>
      <c r="P218" s="646"/>
      <c r="Q218" s="646"/>
      <c r="R218" s="646"/>
    </row>
    <row r="219" spans="1:18" x14ac:dyDescent="0.25">
      <c r="D219" s="207" t="s">
        <v>453</v>
      </c>
      <c r="E219" s="221"/>
      <c r="F219" s="758"/>
      <c r="G219" s="758"/>
      <c r="I219" s="208"/>
      <c r="J219" s="206">
        <f>SUMIF('12-MO Forecast Summary'!E6:E18,'Sch M-2.3 Pg. 2-9'!A208,'12-MO Forecast Summary'!V6:V18)+SUMIF('12-MO Forecast Summary'!E6:E18,'Sch M-2.3 Pg. 2-9'!A209,'12-MO Forecast Summary'!V6:V18)</f>
        <v>1930120.2622383344</v>
      </c>
      <c r="K219" s="206"/>
      <c r="L219" s="646"/>
      <c r="M219" s="216">
        <f>J219</f>
        <v>1930120.2622383344</v>
      </c>
      <c r="N219" s="646"/>
      <c r="O219" s="646"/>
      <c r="P219" s="646"/>
      <c r="Q219" s="646"/>
      <c r="R219" s="646"/>
    </row>
    <row r="220" spans="1:18" x14ac:dyDescent="0.25">
      <c r="L220" s="646"/>
      <c r="M220" s="216"/>
      <c r="N220" s="646"/>
      <c r="O220" s="646"/>
      <c r="P220" s="646"/>
      <c r="Q220" s="646"/>
      <c r="R220" s="646"/>
    </row>
    <row r="221" spans="1:18" ht="16.5" thickBot="1" x14ac:dyDescent="0.3">
      <c r="C221" s="203" t="s">
        <v>286</v>
      </c>
      <c r="J221" s="222">
        <f ca="1">J217+J219</f>
        <v>7709355.0801459104</v>
      </c>
      <c r="K221" s="210"/>
      <c r="L221" s="646"/>
      <c r="M221" s="222">
        <f ca="1">M217+M219</f>
        <v>7897757.5737100821</v>
      </c>
      <c r="N221" s="646"/>
      <c r="O221" s="635"/>
      <c r="P221" s="646"/>
      <c r="Q221" s="646"/>
      <c r="R221" s="646"/>
    </row>
    <row r="222" spans="1:18" ht="16.5" thickTop="1" x14ac:dyDescent="0.25">
      <c r="C222" s="203"/>
      <c r="J222" s="210"/>
      <c r="K222" s="210"/>
      <c r="L222" s="646"/>
      <c r="M222" s="210"/>
      <c r="N222" s="646"/>
      <c r="O222" s="635"/>
      <c r="P222" s="646"/>
      <c r="Q222" s="646"/>
      <c r="R222" s="646"/>
    </row>
    <row r="223" spans="1:18" x14ac:dyDescent="0.25">
      <c r="C223" s="203"/>
      <c r="D223" s="628" t="s">
        <v>702</v>
      </c>
      <c r="J223" s="210"/>
      <c r="K223" s="210"/>
      <c r="L223" s="646"/>
      <c r="M223" s="631">
        <f ca="1">M221-J221</f>
        <v>188402.49356417172</v>
      </c>
      <c r="N223" s="646"/>
      <c r="O223" s="635"/>
      <c r="P223" s="646"/>
      <c r="Q223" s="646"/>
      <c r="R223" s="646"/>
    </row>
    <row r="224" spans="1:18" x14ac:dyDescent="0.25">
      <c r="C224" s="203"/>
      <c r="J224" s="210"/>
      <c r="K224" s="210"/>
      <c r="L224" s="646"/>
      <c r="M224" s="630">
        <f ca="1">M223/J221</f>
        <v>2.4438165268761487E-2</v>
      </c>
      <c r="N224" s="646"/>
      <c r="O224" s="635"/>
      <c r="P224" s="646"/>
      <c r="Q224" s="646"/>
      <c r="R224" s="646"/>
    </row>
    <row r="225" spans="3:18" x14ac:dyDescent="0.25">
      <c r="C225" s="700" t="s">
        <v>703</v>
      </c>
      <c r="L225" s="646"/>
      <c r="M225" s="216"/>
      <c r="N225" s="646"/>
      <c r="O225" s="646"/>
      <c r="P225" s="646"/>
      <c r="Q225" s="646"/>
      <c r="R225" s="646"/>
    </row>
    <row r="226" spans="3:18" x14ac:dyDescent="0.25">
      <c r="L226" s="646"/>
      <c r="M226" s="216"/>
      <c r="N226" s="646"/>
      <c r="O226" s="646"/>
      <c r="P226" s="646"/>
      <c r="Q226" s="646"/>
      <c r="R226" s="646"/>
    </row>
    <row r="227" spans="3:18" x14ac:dyDescent="0.25">
      <c r="C227" s="203" t="s">
        <v>432</v>
      </c>
      <c r="L227" s="646"/>
      <c r="M227" s="216"/>
      <c r="N227" s="646"/>
      <c r="O227" s="646"/>
      <c r="P227" s="646"/>
      <c r="Q227" s="646"/>
      <c r="R227" s="646"/>
    </row>
    <row r="228" spans="3:18" x14ac:dyDescent="0.25">
      <c r="C228" s="219"/>
      <c r="D228" s="193" t="s">
        <v>278</v>
      </c>
      <c r="F228" s="751">
        <f>'Summary SBR-Transport'!B34</f>
        <v>828</v>
      </c>
      <c r="I228" s="205">
        <f>'Retail Rates'!J25</f>
        <v>75</v>
      </c>
      <c r="J228" s="216">
        <f>+F228*I228+SBR!BG48</f>
        <v>62100</v>
      </c>
      <c r="K228" s="216"/>
      <c r="L228" s="205">
        <v>75</v>
      </c>
      <c r="M228" s="216">
        <f>F228*L228</f>
        <v>62100</v>
      </c>
      <c r="N228" s="646"/>
      <c r="O228" s="646"/>
      <c r="P228" s="646"/>
      <c r="Q228" s="646"/>
      <c r="R228" s="646"/>
    </row>
    <row r="229" spans="3:18" x14ac:dyDescent="0.25">
      <c r="C229" s="219"/>
      <c r="I229" s="205"/>
      <c r="J229" s="216"/>
      <c r="K229" s="216"/>
      <c r="L229" s="205"/>
      <c r="M229" s="216"/>
      <c r="N229" s="646"/>
      <c r="O229" s="646"/>
      <c r="P229" s="646"/>
      <c r="Q229" s="646"/>
      <c r="R229" s="646"/>
    </row>
    <row r="230" spans="3:18" x14ac:dyDescent="0.25">
      <c r="C230" s="219"/>
      <c r="D230" s="214" t="s">
        <v>716</v>
      </c>
      <c r="I230" s="716">
        <f ca="1">'Revenue Summary B'!N30</f>
        <v>1.0000000023496121</v>
      </c>
      <c r="J230" s="216"/>
      <c r="K230" s="216"/>
      <c r="L230" s="716">
        <f ca="1">I230</f>
        <v>1.0000000023496121</v>
      </c>
      <c r="M230" s="216"/>
      <c r="N230" s="646"/>
      <c r="O230" s="646"/>
      <c r="P230" s="646"/>
      <c r="Q230" s="646"/>
      <c r="R230" s="646"/>
    </row>
    <row r="231" spans="3:18" x14ac:dyDescent="0.25">
      <c r="E231" s="219"/>
      <c r="G231" s="756"/>
      <c r="L231" s="646"/>
      <c r="M231" s="216"/>
      <c r="N231" s="646"/>
      <c r="O231" s="646"/>
      <c r="P231" s="646"/>
      <c r="Q231" s="646"/>
      <c r="R231" s="646"/>
    </row>
    <row r="232" spans="3:18" ht="16.5" thickBot="1" x14ac:dyDescent="0.3">
      <c r="C232" s="203"/>
      <c r="D232" s="203" t="s">
        <v>434</v>
      </c>
      <c r="J232" s="222">
        <f ca="1">J228/I230</f>
        <v>62099.999854089088</v>
      </c>
      <c r="K232" s="210"/>
      <c r="L232" s="646"/>
      <c r="M232" s="222">
        <f ca="1">M228/L230</f>
        <v>62099.999854089088</v>
      </c>
      <c r="N232" s="646"/>
      <c r="O232" s="634"/>
      <c r="P232" s="646"/>
      <c r="Q232" s="646"/>
      <c r="R232" s="646"/>
    </row>
    <row r="233" spans="3:18" ht="16.5" thickTop="1" x14ac:dyDescent="0.25">
      <c r="C233" s="203"/>
      <c r="D233" s="203"/>
      <c r="F233" s="759"/>
      <c r="J233" s="210"/>
      <c r="K233" s="210"/>
      <c r="L233" s="646"/>
      <c r="M233" s="210"/>
      <c r="N233" s="646"/>
      <c r="O233" s="634"/>
      <c r="P233" s="646"/>
      <c r="Q233" s="646"/>
      <c r="R233" s="646"/>
    </row>
    <row r="234" spans="3:18" x14ac:dyDescent="0.25">
      <c r="C234" s="203"/>
      <c r="D234" s="628" t="s">
        <v>702</v>
      </c>
      <c r="F234" s="759"/>
      <c r="J234" s="210"/>
      <c r="K234" s="210"/>
      <c r="L234" s="646"/>
      <c r="M234" s="631">
        <f ca="1">M232-J232</f>
        <v>0</v>
      </c>
      <c r="N234" s="646"/>
      <c r="O234" s="634"/>
      <c r="P234" s="646"/>
      <c r="Q234" s="646"/>
      <c r="R234" s="646"/>
    </row>
    <row r="235" spans="3:18" x14ac:dyDescent="0.25">
      <c r="C235" s="203"/>
      <c r="D235" s="203"/>
      <c r="F235" s="759"/>
      <c r="J235" s="210"/>
      <c r="K235" s="210"/>
      <c r="L235" s="646"/>
      <c r="M235" s="630">
        <f ca="1">M234/J232</f>
        <v>0</v>
      </c>
      <c r="N235" s="646"/>
      <c r="O235" s="634"/>
      <c r="P235" s="646"/>
      <c r="Q235" s="646"/>
      <c r="R235" s="646"/>
    </row>
    <row r="236" spans="3:18" x14ac:dyDescent="0.25">
      <c r="L236" s="646"/>
      <c r="M236" s="646"/>
      <c r="N236" s="646"/>
      <c r="O236" s="646"/>
      <c r="P236" s="646"/>
      <c r="Q236" s="646"/>
      <c r="R236" s="646"/>
    </row>
    <row r="237" spans="3:18" x14ac:dyDescent="0.25">
      <c r="C237" s="707" t="s">
        <v>553</v>
      </c>
      <c r="D237" s="321"/>
      <c r="E237" s="321"/>
      <c r="F237" s="749"/>
      <c r="G237" s="749"/>
      <c r="H237" s="749"/>
      <c r="I237" s="321"/>
      <c r="L237" s="646"/>
      <c r="M237" s="708" t="str">
        <f>M193</f>
        <v>EXHIBIT 6</v>
      </c>
      <c r="N237" s="646"/>
      <c r="O237" s="646"/>
      <c r="P237" s="646"/>
      <c r="Q237" s="646"/>
      <c r="R237" s="646"/>
    </row>
    <row r="238" spans="3:18" x14ac:dyDescent="0.25">
      <c r="C238" s="709" t="s">
        <v>450</v>
      </c>
      <c r="D238" s="321"/>
      <c r="E238" s="321"/>
      <c r="F238" s="749"/>
      <c r="G238" s="749"/>
      <c r="H238" s="749"/>
      <c r="I238" s="321"/>
      <c r="L238" s="646"/>
      <c r="M238" s="708" t="s">
        <v>730</v>
      </c>
      <c r="N238" s="646"/>
      <c r="O238" s="646"/>
      <c r="P238" s="646"/>
      <c r="Q238" s="646"/>
      <c r="R238" s="646"/>
    </row>
    <row r="239" spans="3:18" x14ac:dyDescent="0.25">
      <c r="C239" s="709" t="s">
        <v>451</v>
      </c>
      <c r="D239" s="321"/>
      <c r="E239" s="321"/>
      <c r="F239" s="749"/>
      <c r="G239" s="749"/>
      <c r="H239" s="749"/>
      <c r="I239" s="321"/>
      <c r="L239" s="646"/>
      <c r="M239" s="710">
        <f>M195</f>
        <v>0</v>
      </c>
      <c r="N239" s="646"/>
      <c r="O239" s="646"/>
      <c r="P239" s="646"/>
      <c r="Q239" s="646"/>
      <c r="R239" s="646"/>
    </row>
    <row r="240" spans="3:18" x14ac:dyDescent="0.25">
      <c r="C240" s="711"/>
      <c r="D240" s="712"/>
      <c r="E240" s="713"/>
      <c r="F240" s="750"/>
      <c r="G240" s="726"/>
      <c r="H240" s="726"/>
      <c r="I240" s="827"/>
      <c r="J240" s="828"/>
      <c r="K240" s="714"/>
      <c r="L240" s="646"/>
      <c r="M240" s="646"/>
      <c r="N240" s="646"/>
      <c r="O240" s="646"/>
      <c r="P240" s="646"/>
      <c r="Q240" s="646"/>
      <c r="R240" s="646"/>
    </row>
    <row r="241" spans="1:18" x14ac:dyDescent="0.25">
      <c r="L241" s="646"/>
      <c r="M241" s="646"/>
      <c r="N241" s="646"/>
      <c r="O241" s="646"/>
      <c r="P241" s="646"/>
      <c r="Q241" s="646"/>
      <c r="R241" s="646"/>
    </row>
    <row r="242" spans="1:18" ht="16.5" thickBot="1" x14ac:dyDescent="0.3">
      <c r="J242" s="194" t="s">
        <v>231</v>
      </c>
      <c r="K242" s="194"/>
      <c r="L242" s="829" t="s">
        <v>776</v>
      </c>
      <c r="M242" s="829"/>
      <c r="N242" s="646"/>
      <c r="O242" s="646"/>
      <c r="P242" s="646"/>
      <c r="Q242" s="646"/>
      <c r="R242" s="646"/>
    </row>
    <row r="243" spans="1:18" x14ac:dyDescent="0.25">
      <c r="J243" s="194" t="s">
        <v>148</v>
      </c>
      <c r="K243" s="194"/>
      <c r="L243" s="194"/>
      <c r="M243" s="646"/>
      <c r="N243" s="646"/>
      <c r="O243" s="646"/>
      <c r="P243" s="646"/>
      <c r="Q243" s="646"/>
      <c r="R243" s="646"/>
    </row>
    <row r="244" spans="1:18" x14ac:dyDescent="0.25">
      <c r="F244" s="248" t="s">
        <v>605</v>
      </c>
      <c r="G244" s="195"/>
      <c r="H244" s="195" t="s">
        <v>323</v>
      </c>
      <c r="I244" s="194" t="s">
        <v>265</v>
      </c>
      <c r="J244" s="196" t="s">
        <v>266</v>
      </c>
      <c r="K244" s="196"/>
      <c r="L244" s="590" t="s">
        <v>618</v>
      </c>
      <c r="M244" s="590" t="s">
        <v>231</v>
      </c>
      <c r="N244" s="646"/>
      <c r="O244" s="646"/>
      <c r="P244" s="646"/>
      <c r="Q244" s="646"/>
      <c r="R244" s="646"/>
    </row>
    <row r="245" spans="1:18" ht="16.5" thickBot="1" x14ac:dyDescent="0.3">
      <c r="C245" s="197" t="s">
        <v>152</v>
      </c>
      <c r="D245" s="197"/>
      <c r="E245" s="197"/>
      <c r="F245" s="727" t="s">
        <v>606</v>
      </c>
      <c r="G245" s="198" t="s">
        <v>147</v>
      </c>
      <c r="H245" s="198" t="s">
        <v>147</v>
      </c>
      <c r="I245" s="199" t="s">
        <v>267</v>
      </c>
      <c r="J245" s="199" t="s">
        <v>267</v>
      </c>
      <c r="K245" s="199"/>
      <c r="L245" s="645" t="s">
        <v>619</v>
      </c>
      <c r="M245" s="645" t="s">
        <v>148</v>
      </c>
      <c r="N245" s="646"/>
      <c r="O245" s="646"/>
      <c r="P245" s="646"/>
      <c r="Q245" s="646"/>
      <c r="R245" s="646"/>
    </row>
    <row r="246" spans="1:18" x14ac:dyDescent="0.25">
      <c r="L246" s="646"/>
      <c r="M246" s="646"/>
      <c r="N246" s="646"/>
      <c r="O246" s="646"/>
      <c r="P246" s="646"/>
      <c r="Q246" s="646"/>
      <c r="R246" s="646"/>
    </row>
    <row r="247" spans="1:18" x14ac:dyDescent="0.25">
      <c r="C247" s="700" t="s">
        <v>324</v>
      </c>
      <c r="L247" s="646"/>
      <c r="M247" s="646"/>
      <c r="N247" s="646"/>
      <c r="O247" s="646"/>
      <c r="P247" s="646"/>
      <c r="Q247" s="646"/>
      <c r="R247" s="646"/>
    </row>
    <row r="248" spans="1:18" x14ac:dyDescent="0.25">
      <c r="C248" s="204"/>
      <c r="L248" s="646"/>
      <c r="M248" s="646"/>
      <c r="N248" s="646"/>
      <c r="O248" s="646"/>
      <c r="P248" s="646"/>
      <c r="Q248" s="646"/>
      <c r="R248" s="646"/>
    </row>
    <row r="249" spans="1:18" x14ac:dyDescent="0.25">
      <c r="C249" s="209" t="s">
        <v>455</v>
      </c>
      <c r="L249" s="646"/>
      <c r="M249" s="646"/>
      <c r="N249" s="646"/>
      <c r="O249" s="646"/>
      <c r="P249" s="646"/>
      <c r="Q249" s="646"/>
      <c r="R249" s="646"/>
    </row>
    <row r="250" spans="1:18" x14ac:dyDescent="0.25">
      <c r="A250" s="706" t="s">
        <v>124</v>
      </c>
      <c r="C250" s="204"/>
      <c r="D250" s="204" t="s">
        <v>325</v>
      </c>
      <c r="F250" s="751">
        <f>'Summary SBR-Transport'!B26</f>
        <v>12</v>
      </c>
      <c r="I250" s="205">
        <f>VLOOKUP($A$250,'Retail Rates'!$A$7:$L$34,6,FALSE)</f>
        <v>180</v>
      </c>
      <c r="J250" s="216">
        <f>+F250*I250</f>
        <v>2160</v>
      </c>
      <c r="K250" s="216"/>
      <c r="L250" s="205">
        <f>L114</f>
        <v>750</v>
      </c>
      <c r="M250" s="216">
        <f>F250*L250</f>
        <v>9000</v>
      </c>
      <c r="N250" s="646"/>
      <c r="O250" s="646"/>
      <c r="P250" s="646"/>
      <c r="Q250" s="646"/>
      <c r="R250" s="646"/>
    </row>
    <row r="251" spans="1:18" x14ac:dyDescent="0.25">
      <c r="C251" s="204"/>
      <c r="F251" s="760"/>
      <c r="L251" s="646"/>
      <c r="M251" s="216"/>
      <c r="N251" s="646"/>
      <c r="O251" s="646"/>
      <c r="P251" s="646"/>
      <c r="Q251" s="646"/>
      <c r="R251" s="646"/>
    </row>
    <row r="252" spans="1:18" x14ac:dyDescent="0.25">
      <c r="C252" s="204"/>
      <c r="D252" s="193" t="s">
        <v>0</v>
      </c>
      <c r="G252" s="759">
        <f>'Summary SBR-Transport'!C28</f>
        <v>154579.79999999999</v>
      </c>
      <c r="I252" s="208">
        <f>VLOOKUP($A$250,'Retail Rates'!$A$7:$L$34,8,FALSE)*10</f>
        <v>0.33289999999999997</v>
      </c>
      <c r="J252" s="223">
        <f>+G252*I252</f>
        <v>51459.615419999995</v>
      </c>
      <c r="K252" s="223"/>
      <c r="L252" s="208">
        <v>0.29920000000000002</v>
      </c>
      <c r="M252" s="216">
        <f>G252*L252</f>
        <v>46250.276160000001</v>
      </c>
      <c r="N252" s="646"/>
      <c r="O252" s="646"/>
      <c r="P252" s="646"/>
      <c r="Q252" s="646"/>
      <c r="R252" s="646"/>
    </row>
    <row r="253" spans="1:18" x14ac:dyDescent="0.25">
      <c r="C253" s="204"/>
      <c r="G253" s="759"/>
      <c r="J253" s="219"/>
      <c r="K253" s="219"/>
      <c r="L253" s="690"/>
      <c r="M253" s="216"/>
      <c r="N253" s="646"/>
      <c r="O253" s="646"/>
      <c r="P253" s="646"/>
      <c r="Q253" s="646"/>
      <c r="R253" s="646"/>
    </row>
    <row r="254" spans="1:18" x14ac:dyDescent="0.25">
      <c r="C254" s="204"/>
      <c r="D254" s="204" t="s">
        <v>214</v>
      </c>
      <c r="G254" s="759">
        <f>SUMIF('12-MO Forecast Summary'!E6:E18,A250,'12-MO Forecast Summary'!K6:K18)/10</f>
        <v>198720</v>
      </c>
      <c r="I254" s="247">
        <f>VLOOKUP($A$250,'Retail Rates'!$A$7:$L$34,12,FALSE)*10</f>
        <v>11.2629</v>
      </c>
      <c r="J254" s="223">
        <f>G254*I254</f>
        <v>2238163.4879999999</v>
      </c>
      <c r="K254" s="223"/>
      <c r="L254" s="247">
        <v>10.8978</v>
      </c>
      <c r="M254" s="216">
        <f>G254*L254</f>
        <v>2165610.8160000001</v>
      </c>
      <c r="N254" s="646"/>
      <c r="O254" s="646"/>
      <c r="P254" s="646"/>
      <c r="Q254" s="646"/>
      <c r="R254" s="646"/>
    </row>
    <row r="255" spans="1:18" x14ac:dyDescent="0.25">
      <c r="C255" s="204"/>
      <c r="D255" s="204"/>
      <c r="G255" s="759"/>
      <c r="I255" s="247"/>
      <c r="J255" s="223"/>
      <c r="K255" s="223"/>
      <c r="L255" s="646"/>
      <c r="M255" s="216"/>
      <c r="N255" s="646"/>
      <c r="O255" s="646"/>
      <c r="P255" s="646"/>
      <c r="Q255" s="646"/>
      <c r="R255" s="646"/>
    </row>
    <row r="256" spans="1:18" x14ac:dyDescent="0.25">
      <c r="C256" s="204"/>
      <c r="D256" s="209" t="s">
        <v>383</v>
      </c>
      <c r="G256" s="759"/>
      <c r="I256" s="247"/>
      <c r="J256" s="350">
        <f>SUM(J250:J254)</f>
        <v>2291783.1034200001</v>
      </c>
      <c r="K256" s="350"/>
      <c r="L256" s="646"/>
      <c r="M256" s="350">
        <f>SUM(M250:M254)</f>
        <v>2220861.09216</v>
      </c>
      <c r="N256" s="646"/>
      <c r="O256" s="646"/>
      <c r="P256" s="646"/>
      <c r="Q256" s="646"/>
      <c r="R256" s="646"/>
    </row>
    <row r="257" spans="3:18" x14ac:dyDescent="0.25">
      <c r="C257" s="204"/>
      <c r="D257" s="209"/>
      <c r="G257" s="759"/>
      <c r="I257" s="247"/>
      <c r="J257" s="350"/>
      <c r="K257" s="350"/>
      <c r="L257" s="646"/>
      <c r="M257" s="350"/>
      <c r="N257" s="646"/>
      <c r="O257" s="646"/>
      <c r="P257" s="646"/>
      <c r="Q257" s="646"/>
      <c r="R257" s="646"/>
    </row>
    <row r="258" spans="3:18" x14ac:dyDescent="0.25">
      <c r="C258" s="204"/>
      <c r="D258" s="214" t="s">
        <v>716</v>
      </c>
      <c r="G258" s="759"/>
      <c r="I258" s="716">
        <f ca="1">'Revenue Summary B'!N32</f>
        <v>0.99999999790698701</v>
      </c>
      <c r="J258" s="350"/>
      <c r="K258" s="350"/>
      <c r="L258" s="719">
        <f ca="1">I258</f>
        <v>0.99999999790698701</v>
      </c>
      <c r="M258" s="350"/>
      <c r="N258" s="646"/>
      <c r="O258" s="646"/>
      <c r="P258" s="646"/>
      <c r="Q258" s="646"/>
      <c r="R258" s="646"/>
    </row>
    <row r="259" spans="3:18" x14ac:dyDescent="0.25">
      <c r="C259" s="204"/>
      <c r="D259" s="203"/>
      <c r="G259" s="759"/>
      <c r="I259" s="247"/>
      <c r="J259" s="350"/>
      <c r="K259" s="350"/>
      <c r="L259" s="646"/>
      <c r="M259" s="350"/>
      <c r="N259" s="646"/>
      <c r="O259" s="646"/>
      <c r="P259" s="646"/>
      <c r="Q259" s="646"/>
      <c r="R259" s="646"/>
    </row>
    <row r="260" spans="3:18" x14ac:dyDescent="0.25">
      <c r="C260" s="204"/>
      <c r="D260" s="203" t="s">
        <v>717</v>
      </c>
      <c r="G260" s="759"/>
      <c r="I260" s="247"/>
      <c r="J260" s="350">
        <f ca="1">J256/I258</f>
        <v>2291783.1082167318</v>
      </c>
      <c r="K260" s="350"/>
      <c r="L260" s="646"/>
      <c r="M260" s="350">
        <f ca="1">M256/L258</f>
        <v>2220861.096808291</v>
      </c>
      <c r="N260" s="646"/>
      <c r="O260" s="646"/>
      <c r="P260" s="646"/>
      <c r="Q260" s="646"/>
      <c r="R260" s="646"/>
    </row>
    <row r="261" spans="3:18" x14ac:dyDescent="0.25">
      <c r="C261" s="204"/>
      <c r="G261" s="759"/>
      <c r="I261" s="344"/>
      <c r="J261" s="223"/>
      <c r="K261" s="223"/>
      <c r="L261" s="646"/>
      <c r="M261" s="216"/>
      <c r="N261" s="646"/>
      <c r="O261" s="646"/>
      <c r="P261" s="646"/>
      <c r="Q261" s="646"/>
      <c r="R261" s="646"/>
    </row>
    <row r="262" spans="3:18" x14ac:dyDescent="0.25">
      <c r="C262" s="204"/>
      <c r="D262" s="207" t="s">
        <v>452</v>
      </c>
      <c r="G262" s="759"/>
      <c r="I262" s="344"/>
      <c r="J262" s="223">
        <f>SUMIF('12-MO Forecast Summary'!$E$6:$E$18,'Sch M-2.3 Pg. 2-9'!$A250,'12-MO Forecast Summary'!$U$6:$U$18)</f>
        <v>630517.45178326871</v>
      </c>
      <c r="K262" s="223"/>
      <c r="L262" s="646"/>
      <c r="M262" s="216">
        <f>J262</f>
        <v>630517.45178326871</v>
      </c>
      <c r="N262" s="646"/>
      <c r="O262" s="646"/>
      <c r="P262" s="646"/>
      <c r="Q262" s="646"/>
      <c r="R262" s="646"/>
    </row>
    <row r="263" spans="3:18" x14ac:dyDescent="0.25">
      <c r="C263" s="204"/>
      <c r="D263" s="207"/>
      <c r="G263" s="759"/>
      <c r="I263" s="344"/>
      <c r="J263" s="223"/>
      <c r="K263" s="223"/>
      <c r="L263" s="646"/>
      <c r="M263" s="216"/>
      <c r="N263" s="646"/>
      <c r="O263" s="646"/>
      <c r="P263" s="646"/>
      <c r="Q263" s="646"/>
      <c r="R263" s="646"/>
    </row>
    <row r="264" spans="3:18" ht="16.5" thickBot="1" x14ac:dyDescent="0.3">
      <c r="C264" s="204"/>
      <c r="D264" s="345" t="s">
        <v>454</v>
      </c>
      <c r="G264" s="759"/>
      <c r="I264" s="344"/>
      <c r="J264" s="346">
        <f ca="1">J260+SUM(J262:J262)</f>
        <v>2922300.5600000005</v>
      </c>
      <c r="K264" s="350"/>
      <c r="L264" s="646"/>
      <c r="M264" s="346">
        <f ca="1">M260+SUM(M262:M262)</f>
        <v>2851378.5485915598</v>
      </c>
      <c r="N264" s="699"/>
      <c r="O264" s="690"/>
      <c r="P264" s="646"/>
      <c r="Q264" s="646"/>
      <c r="R264" s="646"/>
    </row>
    <row r="265" spans="3:18" ht="16.5" thickTop="1" x14ac:dyDescent="0.25">
      <c r="C265" s="204"/>
      <c r="D265" s="345"/>
      <c r="G265" s="759"/>
      <c r="I265" s="344"/>
      <c r="J265" s="350"/>
      <c r="K265" s="350"/>
      <c r="L265" s="646"/>
      <c r="M265" s="216"/>
      <c r="N265" s="699"/>
      <c r="O265" s="690"/>
      <c r="P265" s="646"/>
      <c r="Q265" s="646"/>
      <c r="R265" s="646"/>
    </row>
    <row r="266" spans="3:18" x14ac:dyDescent="0.25">
      <c r="C266" s="204"/>
      <c r="D266" s="207" t="s">
        <v>702</v>
      </c>
      <c r="G266" s="759"/>
      <c r="I266" s="344"/>
      <c r="J266" s="350"/>
      <c r="K266" s="350"/>
      <c r="L266" s="646"/>
      <c r="M266" s="216">
        <f ca="1">M264-J264</f>
        <v>-70922.011408440769</v>
      </c>
      <c r="N266" s="699"/>
      <c r="O266" s="690"/>
      <c r="P266" s="646"/>
      <c r="Q266" s="646"/>
      <c r="R266" s="646"/>
    </row>
    <row r="267" spans="3:18" x14ac:dyDescent="0.25">
      <c r="C267" s="204"/>
      <c r="D267" s="345"/>
      <c r="G267" s="759"/>
      <c r="I267" s="344"/>
      <c r="J267" s="350"/>
      <c r="K267" s="350"/>
      <c r="L267" s="646"/>
      <c r="M267" s="632">
        <f ca="1">M266/J264</f>
        <v>-2.426923923541963E-2</v>
      </c>
      <c r="N267" s="699"/>
      <c r="O267" s="690"/>
      <c r="P267" s="646"/>
      <c r="Q267" s="646"/>
      <c r="R267" s="646"/>
    </row>
    <row r="268" spans="3:18" x14ac:dyDescent="0.25">
      <c r="C268" s="204"/>
      <c r="D268" s="207"/>
      <c r="G268" s="759"/>
      <c r="I268" s="344"/>
      <c r="J268" s="223"/>
      <c r="K268" s="223"/>
      <c r="L268" s="646"/>
      <c r="M268" s="646"/>
      <c r="N268" s="646"/>
      <c r="O268" s="646"/>
      <c r="P268" s="646"/>
      <c r="Q268" s="646"/>
      <c r="R268" s="646"/>
    </row>
    <row r="269" spans="3:18" x14ac:dyDescent="0.25">
      <c r="C269" s="707" t="s">
        <v>553</v>
      </c>
      <c r="D269" s="321"/>
      <c r="E269" s="321"/>
      <c r="F269" s="749"/>
      <c r="G269" s="749"/>
      <c r="H269" s="749"/>
      <c r="I269" s="321"/>
      <c r="L269" s="646"/>
      <c r="M269" s="708" t="str">
        <f>M237</f>
        <v>EXHIBIT 6</v>
      </c>
      <c r="N269" s="646"/>
      <c r="O269" s="646"/>
      <c r="P269" s="646"/>
      <c r="Q269" s="646"/>
      <c r="R269" s="646"/>
    </row>
    <row r="270" spans="3:18" x14ac:dyDescent="0.25">
      <c r="C270" s="709" t="s">
        <v>450</v>
      </c>
      <c r="D270" s="321"/>
      <c r="E270" s="321"/>
      <c r="F270" s="749"/>
      <c r="G270" s="749"/>
      <c r="H270" s="749"/>
      <c r="I270" s="321"/>
      <c r="L270" s="646"/>
      <c r="M270" s="708" t="s">
        <v>731</v>
      </c>
      <c r="N270" s="646"/>
      <c r="O270" s="646"/>
      <c r="P270" s="646"/>
      <c r="Q270" s="646"/>
      <c r="R270" s="646"/>
    </row>
    <row r="271" spans="3:18" x14ac:dyDescent="0.25">
      <c r="C271" s="709" t="s">
        <v>451</v>
      </c>
      <c r="D271" s="321"/>
      <c r="E271" s="321"/>
      <c r="F271" s="749"/>
      <c r="G271" s="749"/>
      <c r="H271" s="749"/>
      <c r="I271" s="321"/>
      <c r="L271" s="646"/>
      <c r="M271" s="710">
        <f>M239</f>
        <v>0</v>
      </c>
      <c r="N271" s="646"/>
      <c r="O271" s="646"/>
      <c r="P271" s="646"/>
      <c r="Q271" s="646"/>
      <c r="R271" s="646"/>
    </row>
    <row r="272" spans="3:18" x14ac:dyDescent="0.25">
      <c r="C272" s="711"/>
      <c r="D272" s="712"/>
      <c r="E272" s="713"/>
      <c r="F272" s="750"/>
      <c r="G272" s="726"/>
      <c r="H272" s="726"/>
      <c r="I272" s="827"/>
      <c r="J272" s="828"/>
      <c r="K272" s="714"/>
      <c r="L272" s="646"/>
      <c r="M272" s="646"/>
      <c r="N272" s="646"/>
      <c r="O272" s="646"/>
      <c r="P272" s="646"/>
      <c r="Q272" s="646"/>
      <c r="R272" s="646"/>
    </row>
    <row r="273" spans="1:18" x14ac:dyDescent="0.25">
      <c r="L273" s="646"/>
      <c r="M273" s="646"/>
      <c r="N273" s="646"/>
      <c r="O273" s="646"/>
      <c r="P273" s="646"/>
      <c r="Q273" s="646"/>
      <c r="R273" s="646"/>
    </row>
    <row r="274" spans="1:18" ht="16.5" thickBot="1" x14ac:dyDescent="0.3">
      <c r="J274" s="590" t="s">
        <v>231</v>
      </c>
      <c r="K274" s="194"/>
      <c r="L274" s="829" t="s">
        <v>776</v>
      </c>
      <c r="M274" s="829"/>
      <c r="N274" s="646"/>
      <c r="O274" s="646"/>
      <c r="P274" s="646"/>
      <c r="Q274" s="646"/>
      <c r="R274" s="646"/>
    </row>
    <row r="275" spans="1:18" x14ac:dyDescent="0.25">
      <c r="J275" s="590" t="s">
        <v>148</v>
      </c>
      <c r="K275" s="194"/>
      <c r="L275" s="194"/>
      <c r="M275" s="646"/>
      <c r="N275" s="646"/>
      <c r="O275" s="646"/>
      <c r="P275" s="646"/>
      <c r="Q275" s="646"/>
      <c r="R275" s="646"/>
    </row>
    <row r="276" spans="1:18" x14ac:dyDescent="0.25">
      <c r="F276" s="248" t="s">
        <v>605</v>
      </c>
      <c r="G276" s="195"/>
      <c r="H276" s="195" t="s">
        <v>323</v>
      </c>
      <c r="I276" s="590" t="s">
        <v>265</v>
      </c>
      <c r="J276" s="723" t="s">
        <v>266</v>
      </c>
      <c r="K276" s="196"/>
      <c r="L276" s="590" t="s">
        <v>618</v>
      </c>
      <c r="M276" s="590" t="s">
        <v>231</v>
      </c>
      <c r="N276" s="646"/>
      <c r="O276" s="646"/>
      <c r="P276" s="646"/>
      <c r="Q276" s="646"/>
      <c r="R276" s="646"/>
    </row>
    <row r="277" spans="1:18" ht="16.5" thickBot="1" x14ac:dyDescent="0.3">
      <c r="C277" s="197" t="s">
        <v>152</v>
      </c>
      <c r="D277" s="197"/>
      <c r="E277" s="197"/>
      <c r="F277" s="727" t="s">
        <v>606</v>
      </c>
      <c r="G277" s="198" t="s">
        <v>147</v>
      </c>
      <c r="H277" s="198" t="s">
        <v>147</v>
      </c>
      <c r="I277" s="722" t="s">
        <v>267</v>
      </c>
      <c r="J277" s="722" t="s">
        <v>267</v>
      </c>
      <c r="K277" s="199"/>
      <c r="L277" s="645" t="s">
        <v>619</v>
      </c>
      <c r="M277" s="645" t="s">
        <v>148</v>
      </c>
      <c r="N277" s="646"/>
      <c r="O277" s="646"/>
      <c r="P277" s="646"/>
      <c r="Q277" s="646"/>
      <c r="R277" s="646"/>
    </row>
    <row r="278" spans="1:18" x14ac:dyDescent="0.25">
      <c r="L278" s="646"/>
      <c r="M278" s="646"/>
      <c r="N278" s="646"/>
      <c r="O278" s="646"/>
      <c r="P278" s="646"/>
      <c r="Q278" s="646"/>
      <c r="R278" s="646"/>
    </row>
    <row r="279" spans="1:18" x14ac:dyDescent="0.25">
      <c r="A279" s="320" t="s">
        <v>103</v>
      </c>
      <c r="C279" s="700" t="s">
        <v>602</v>
      </c>
      <c r="L279" s="646"/>
      <c r="M279" s="646"/>
      <c r="N279" s="646"/>
      <c r="O279" s="646"/>
      <c r="P279" s="646"/>
      <c r="Q279" s="646"/>
      <c r="R279" s="646"/>
    </row>
    <row r="280" spans="1:18" x14ac:dyDescent="0.25">
      <c r="L280" s="646"/>
      <c r="M280" s="646"/>
      <c r="N280" s="646"/>
      <c r="O280" s="646"/>
      <c r="P280" s="646"/>
      <c r="Q280" s="646"/>
      <c r="R280" s="646"/>
    </row>
    <row r="281" spans="1:18" x14ac:dyDescent="0.25">
      <c r="C281" s="201" t="s">
        <v>59</v>
      </c>
      <c r="D281" s="225"/>
      <c r="L281" s="646"/>
      <c r="M281" s="646"/>
      <c r="N281" s="646"/>
      <c r="O281" s="646"/>
      <c r="P281" s="646"/>
      <c r="Q281" s="646"/>
      <c r="R281" s="646"/>
    </row>
    <row r="282" spans="1:18" x14ac:dyDescent="0.25">
      <c r="C282" s="203"/>
      <c r="D282" s="193" t="s">
        <v>270</v>
      </c>
      <c r="F282" s="320"/>
      <c r="I282" s="320"/>
      <c r="J282" s="320"/>
      <c r="K282" s="320"/>
      <c r="L282" s="320"/>
      <c r="N282" s="646"/>
      <c r="O282" s="646"/>
      <c r="P282" s="646"/>
      <c r="Q282" s="646"/>
      <c r="R282" s="646"/>
    </row>
    <row r="283" spans="1:18" x14ac:dyDescent="0.25">
      <c r="C283" s="203"/>
      <c r="D283" s="215" t="s">
        <v>274</v>
      </c>
      <c r="F283" s="751">
        <f ca="1">'Summary SBR-Transport'!B30</f>
        <v>12</v>
      </c>
      <c r="I283" s="205">
        <f>VLOOKUP($A$279,'Retail Rates'!$A$7:$L$34,6,FALSE)</f>
        <v>40</v>
      </c>
      <c r="J283" s="216">
        <f ca="1">+F283*I283</f>
        <v>480</v>
      </c>
      <c r="K283" s="216"/>
      <c r="L283" s="205">
        <f>L97</f>
        <v>165</v>
      </c>
      <c r="M283" s="216">
        <f ca="1">F283*L283</f>
        <v>1980</v>
      </c>
      <c r="N283" s="646"/>
      <c r="O283" s="646"/>
      <c r="P283" s="646"/>
      <c r="Q283" s="646"/>
      <c r="R283" s="646"/>
    </row>
    <row r="284" spans="1:18" x14ac:dyDescent="0.25">
      <c r="C284" s="203"/>
      <c r="D284" s="215" t="s">
        <v>275</v>
      </c>
      <c r="F284" s="751">
        <v>0</v>
      </c>
      <c r="I284" s="205">
        <f>I98</f>
        <v>180</v>
      </c>
      <c r="J284" s="216">
        <f>F284*I284</f>
        <v>0</v>
      </c>
      <c r="K284" s="216"/>
      <c r="L284" s="205">
        <f>L98</f>
        <v>750</v>
      </c>
      <c r="M284" s="216">
        <f>F284*L284</f>
        <v>0</v>
      </c>
      <c r="N284" s="646"/>
      <c r="O284" s="646"/>
      <c r="P284" s="646"/>
      <c r="Q284" s="646"/>
      <c r="R284" s="646"/>
    </row>
    <row r="285" spans="1:18" x14ac:dyDescent="0.25">
      <c r="G285" s="759"/>
      <c r="J285" s="216"/>
      <c r="K285" s="216"/>
      <c r="L285" s="646"/>
      <c r="M285" s="646"/>
      <c r="N285" s="646"/>
      <c r="O285" s="646"/>
      <c r="P285" s="646"/>
      <c r="Q285" s="646"/>
      <c r="R285" s="646"/>
    </row>
    <row r="286" spans="1:18" x14ac:dyDescent="0.25">
      <c r="D286" s="193" t="s">
        <v>0</v>
      </c>
      <c r="G286" s="758">
        <f>'Summary SBR-Transport'!C30</f>
        <v>7.1999999999999993</v>
      </c>
      <c r="I286" s="247">
        <f>VLOOKUP($A$279,'Retail Rates'!$A$7:$L$34,8,FALSE)*10</f>
        <v>0.33289999999999997</v>
      </c>
      <c r="J286" s="216">
        <f>ROUND(+G286*I286,2)</f>
        <v>2.4</v>
      </c>
      <c r="K286" s="216"/>
      <c r="L286" s="247">
        <f>L252</f>
        <v>0.29920000000000002</v>
      </c>
      <c r="M286" s="216">
        <f>G286*L286</f>
        <v>2.1542400000000002</v>
      </c>
      <c r="N286" s="646"/>
      <c r="O286" s="646"/>
      <c r="P286" s="646"/>
      <c r="Q286" s="646"/>
      <c r="R286" s="646"/>
    </row>
    <row r="287" spans="1:18" x14ac:dyDescent="0.25">
      <c r="D287" s="193" t="s">
        <v>214</v>
      </c>
      <c r="G287" s="758">
        <f>48.3*12</f>
        <v>579.59999999999991</v>
      </c>
      <c r="I287" s="247">
        <f>VLOOKUP($A$279,'Retail Rates'!$A$7:$L$34,12,FALSE)*10</f>
        <v>11.263000000000002</v>
      </c>
      <c r="J287" s="216">
        <f>+G287*I287</f>
        <v>6528.0348000000004</v>
      </c>
      <c r="K287" s="216"/>
      <c r="L287" s="247">
        <f>L254</f>
        <v>10.8978</v>
      </c>
      <c r="M287" s="216">
        <f>G287*L287</f>
        <v>6316.3648799999992</v>
      </c>
      <c r="N287" s="646"/>
      <c r="O287" s="646"/>
      <c r="P287" s="646"/>
      <c r="Q287" s="646"/>
      <c r="R287" s="646"/>
    </row>
    <row r="288" spans="1:18" x14ac:dyDescent="0.25">
      <c r="G288" s="758"/>
      <c r="I288" s="247"/>
      <c r="J288" s="216"/>
      <c r="K288" s="216"/>
      <c r="L288" s="247"/>
      <c r="M288" s="216"/>
      <c r="N288" s="646"/>
      <c r="O288" s="646"/>
      <c r="P288" s="646"/>
      <c r="Q288" s="646"/>
      <c r="R288" s="646"/>
    </row>
    <row r="289" spans="3:18" x14ac:dyDescent="0.25">
      <c r="D289" s="209" t="s">
        <v>383</v>
      </c>
      <c r="G289" s="758"/>
      <c r="I289" s="247"/>
      <c r="J289" s="720">
        <f ca="1">SUM(J283:J287)</f>
        <v>7010.4348</v>
      </c>
      <c r="K289" s="216"/>
      <c r="L289" s="247"/>
      <c r="M289" s="720">
        <f ca="1">SUM(M283:M287)</f>
        <v>8298.519119999999</v>
      </c>
      <c r="N289" s="646"/>
      <c r="O289" s="646"/>
      <c r="P289" s="646"/>
      <c r="Q289" s="646"/>
      <c r="R289" s="646"/>
    </row>
    <row r="290" spans="3:18" x14ac:dyDescent="0.25">
      <c r="G290" s="758"/>
      <c r="I290" s="247"/>
      <c r="J290" s="216"/>
      <c r="K290" s="216"/>
      <c r="L290" s="247"/>
      <c r="M290" s="216"/>
      <c r="N290" s="646"/>
      <c r="O290" s="646"/>
      <c r="P290" s="646"/>
      <c r="Q290" s="646"/>
      <c r="R290" s="646"/>
    </row>
    <row r="291" spans="3:18" x14ac:dyDescent="0.25">
      <c r="D291" s="214" t="s">
        <v>716</v>
      </c>
      <c r="G291" s="758"/>
      <c r="I291" s="716">
        <f ca="1">ROUND('Revenue Summary B'!N22,6)</f>
        <v>1</v>
      </c>
      <c r="J291" s="216"/>
      <c r="K291" s="216"/>
      <c r="L291" s="716">
        <f ca="1">I291</f>
        <v>1</v>
      </c>
      <c r="M291" s="216"/>
      <c r="N291" s="646"/>
      <c r="O291" s="646"/>
      <c r="P291" s="646"/>
      <c r="Q291" s="646"/>
      <c r="R291" s="646"/>
    </row>
    <row r="292" spans="3:18" x14ac:dyDescent="0.25">
      <c r="D292" s="203"/>
      <c r="G292" s="758"/>
      <c r="I292" s="247"/>
      <c r="J292" s="216"/>
      <c r="K292" s="216"/>
      <c r="L292" s="247"/>
      <c r="M292" s="216"/>
      <c r="N292" s="646"/>
      <c r="O292" s="646"/>
      <c r="P292" s="646"/>
      <c r="Q292" s="646"/>
      <c r="R292" s="646"/>
    </row>
    <row r="293" spans="3:18" x14ac:dyDescent="0.25">
      <c r="D293" s="203" t="s">
        <v>717</v>
      </c>
      <c r="G293" s="758"/>
      <c r="I293" s="247"/>
      <c r="J293" s="720">
        <f ca="1">J289/I291</f>
        <v>7010.4348</v>
      </c>
      <c r="K293" s="216"/>
      <c r="L293" s="247"/>
      <c r="M293" s="720">
        <f ca="1">M289/L291</f>
        <v>8298.519119999999</v>
      </c>
      <c r="N293" s="646"/>
      <c r="O293" s="646"/>
      <c r="P293" s="646"/>
      <c r="Q293" s="646"/>
      <c r="R293" s="646"/>
    </row>
    <row r="294" spans="3:18" x14ac:dyDescent="0.25">
      <c r="G294" s="758"/>
      <c r="I294" s="247"/>
      <c r="J294" s="216"/>
      <c r="K294" s="216"/>
      <c r="L294" s="247"/>
      <c r="M294" s="216"/>
      <c r="N294" s="646"/>
      <c r="O294" s="646"/>
      <c r="P294" s="646"/>
      <c r="Q294" s="646"/>
      <c r="R294" s="646"/>
    </row>
    <row r="295" spans="3:18" x14ac:dyDescent="0.25">
      <c r="D295" s="193" t="s">
        <v>452</v>
      </c>
      <c r="G295" s="759"/>
      <c r="I295" s="320"/>
      <c r="J295" s="223">
        <f ca="1">SUMIF('12-MO Forecast Summary'!$E$6:$E$18,'Sch M-2.3 Pg. 2-9'!$A279,'12-MO Forecast Summary'!$U$6:$U$18)</f>
        <v>29.58996422013707</v>
      </c>
      <c r="K295" s="205"/>
      <c r="L295" s="646"/>
      <c r="M295" s="223">
        <f ca="1">J295</f>
        <v>29.58996422013707</v>
      </c>
      <c r="N295" s="646"/>
      <c r="O295" s="646"/>
      <c r="P295" s="646"/>
      <c r="Q295" s="646"/>
      <c r="R295" s="646"/>
    </row>
    <row r="296" spans="3:18" x14ac:dyDescent="0.25">
      <c r="D296" s="193" t="s">
        <v>453</v>
      </c>
      <c r="I296" s="320"/>
      <c r="J296" s="223">
        <f ca="1">SUMIF('12-MO Forecast Summary'!$E$6:$E$18,'Sch M-2.3 Pg. 2-9'!$A279,'12-MO Forecast Summary'!$V$6:$V$18)</f>
        <v>1.3341336732703244</v>
      </c>
      <c r="K296" s="205"/>
      <c r="L296" s="646"/>
      <c r="M296" s="223">
        <f ca="1">J296</f>
        <v>1.3341336732703244</v>
      </c>
      <c r="N296" s="646"/>
      <c r="O296" s="646"/>
      <c r="P296" s="646"/>
      <c r="Q296" s="646"/>
      <c r="R296" s="646"/>
    </row>
    <row r="297" spans="3:18" x14ac:dyDescent="0.25">
      <c r="J297" s="223"/>
      <c r="K297" s="223"/>
      <c r="L297" s="646"/>
      <c r="M297" s="646"/>
      <c r="N297" s="646"/>
      <c r="O297" s="646"/>
      <c r="P297" s="646"/>
      <c r="Q297" s="646"/>
      <c r="R297" s="646"/>
    </row>
    <row r="298" spans="3:18" ht="16.5" thickBot="1" x14ac:dyDescent="0.3">
      <c r="D298" s="204"/>
      <c r="G298" s="759"/>
      <c r="J298" s="346">
        <f ca="1">SUM(J293:J296)</f>
        <v>7041.3588978934076</v>
      </c>
      <c r="K298" s="216"/>
      <c r="L298" s="646"/>
      <c r="M298" s="346">
        <f ca="1">SUM(M293:M296)</f>
        <v>8329.4432178934057</v>
      </c>
      <c r="N298" s="699"/>
      <c r="O298" s="690"/>
      <c r="P298" s="646"/>
      <c r="Q298" s="646"/>
      <c r="R298" s="646"/>
    </row>
    <row r="299" spans="3:18" ht="16.5" thickTop="1" x14ac:dyDescent="0.25">
      <c r="D299" s="220"/>
      <c r="G299" s="759"/>
      <c r="I299" s="208"/>
      <c r="J299" s="223"/>
      <c r="K299" s="223"/>
      <c r="L299" s="646"/>
      <c r="M299" s="646"/>
      <c r="N299" s="646"/>
      <c r="O299" s="646"/>
      <c r="P299" s="646"/>
      <c r="Q299" s="646"/>
      <c r="R299" s="646"/>
    </row>
    <row r="300" spans="3:18" x14ac:dyDescent="0.25">
      <c r="D300" s="207" t="s">
        <v>702</v>
      </c>
      <c r="G300" s="759"/>
      <c r="I300" s="208"/>
      <c r="J300" s="320"/>
      <c r="K300" s="320"/>
      <c r="L300" s="646"/>
      <c r="M300" s="216">
        <f ca="1">M298-J298</f>
        <v>1288.0843199999981</v>
      </c>
      <c r="N300" s="646"/>
      <c r="O300" s="646"/>
      <c r="P300" s="646"/>
      <c r="Q300" s="646"/>
      <c r="R300" s="646"/>
    </row>
    <row r="301" spans="3:18" x14ac:dyDescent="0.25">
      <c r="C301" s="320"/>
      <c r="D301" s="320"/>
      <c r="E301" s="320"/>
      <c r="F301" s="739"/>
      <c r="G301" s="739"/>
      <c r="H301" s="739"/>
      <c r="I301" s="320"/>
      <c r="K301" s="223"/>
      <c r="L301" s="646"/>
      <c r="M301" s="633">
        <f ca="1">M300/J298</f>
        <v>0.18293121238080332</v>
      </c>
      <c r="P301" s="646"/>
      <c r="Q301" s="646"/>
      <c r="R301" s="646"/>
    </row>
    <row r="302" spans="3:18" x14ac:dyDescent="0.25">
      <c r="C302" s="204"/>
      <c r="L302" s="646"/>
      <c r="M302" s="646"/>
      <c r="N302" s="646"/>
      <c r="O302" s="646"/>
      <c r="P302" s="646"/>
      <c r="Q302" s="646"/>
      <c r="R302" s="646"/>
    </row>
    <row r="303" spans="3:18" x14ac:dyDescent="0.25">
      <c r="C303" s="707" t="s">
        <v>553</v>
      </c>
      <c r="D303" s="321"/>
      <c r="E303" s="321"/>
      <c r="F303" s="749"/>
      <c r="G303" s="749"/>
      <c r="H303" s="749"/>
      <c r="I303" s="321"/>
      <c r="L303" s="646"/>
      <c r="M303" s="708" t="str">
        <f>M269</f>
        <v>EXHIBIT 6</v>
      </c>
      <c r="N303" s="646"/>
      <c r="O303" s="646"/>
      <c r="P303" s="646"/>
      <c r="Q303" s="646"/>
      <c r="R303" s="646"/>
    </row>
    <row r="304" spans="3:18" x14ac:dyDescent="0.25">
      <c r="C304" s="709" t="s">
        <v>450</v>
      </c>
      <c r="D304" s="321"/>
      <c r="E304" s="321"/>
      <c r="F304" s="749"/>
      <c r="G304" s="749"/>
      <c r="H304" s="749"/>
      <c r="I304" s="321"/>
      <c r="L304" s="646"/>
      <c r="M304" s="708" t="s">
        <v>732</v>
      </c>
      <c r="N304" s="646"/>
      <c r="O304" s="646"/>
      <c r="P304" s="646"/>
      <c r="Q304" s="646"/>
      <c r="R304" s="646"/>
    </row>
    <row r="305" spans="1:18" x14ac:dyDescent="0.25">
      <c r="C305" s="709" t="s">
        <v>451</v>
      </c>
      <c r="D305" s="321"/>
      <c r="E305" s="321"/>
      <c r="F305" s="749"/>
      <c r="G305" s="749"/>
      <c r="H305" s="749"/>
      <c r="I305" s="321"/>
      <c r="L305" s="646"/>
      <c r="M305" s="710">
        <f>M271</f>
        <v>0</v>
      </c>
      <c r="N305" s="646"/>
      <c r="O305" s="646"/>
      <c r="P305" s="646"/>
      <c r="Q305" s="646"/>
      <c r="R305" s="646"/>
    </row>
    <row r="306" spans="1:18" x14ac:dyDescent="0.25">
      <c r="A306" s="646"/>
      <c r="B306" s="646"/>
      <c r="C306" s="711"/>
      <c r="D306" s="712"/>
      <c r="E306" s="713"/>
      <c r="F306" s="750"/>
      <c r="G306" s="726"/>
      <c r="H306" s="726"/>
      <c r="I306" s="827"/>
      <c r="J306" s="828"/>
      <c r="K306" s="721"/>
      <c r="L306" s="646"/>
      <c r="M306" s="646"/>
      <c r="N306" s="646"/>
      <c r="O306" s="646"/>
      <c r="P306" s="646"/>
      <c r="Q306" s="646"/>
      <c r="R306" s="646"/>
    </row>
    <row r="307" spans="1:18" x14ac:dyDescent="0.25">
      <c r="A307" s="646"/>
      <c r="B307" s="646"/>
      <c r="L307" s="646"/>
      <c r="M307" s="646"/>
      <c r="N307" s="646"/>
      <c r="O307" s="646"/>
      <c r="P307" s="646"/>
      <c r="Q307" s="646"/>
      <c r="R307" s="646"/>
    </row>
    <row r="308" spans="1:18" ht="16.5" thickBot="1" x14ac:dyDescent="0.3">
      <c r="A308" s="646"/>
      <c r="B308" s="646"/>
      <c r="J308" s="590" t="s">
        <v>231</v>
      </c>
      <c r="K308" s="194"/>
      <c r="L308" s="829" t="s">
        <v>776</v>
      </c>
      <c r="M308" s="829"/>
      <c r="N308" s="646"/>
      <c r="O308" s="646"/>
      <c r="P308" s="646"/>
      <c r="Q308" s="646"/>
      <c r="R308" s="646"/>
    </row>
    <row r="309" spans="1:18" x14ac:dyDescent="0.25">
      <c r="A309" s="646"/>
      <c r="B309" s="646"/>
      <c r="J309" s="590" t="s">
        <v>148</v>
      </c>
      <c r="K309" s="194"/>
      <c r="L309" s="194"/>
      <c r="M309" s="646"/>
      <c r="N309" s="646"/>
      <c r="O309" s="646"/>
      <c r="P309" s="646"/>
      <c r="Q309" s="646"/>
      <c r="R309" s="646"/>
    </row>
    <row r="310" spans="1:18" x14ac:dyDescent="0.25">
      <c r="A310" s="646"/>
      <c r="B310" s="646"/>
      <c r="F310" s="248" t="s">
        <v>605</v>
      </c>
      <c r="G310" s="195"/>
      <c r="H310" s="195" t="s">
        <v>323</v>
      </c>
      <c r="I310" s="590" t="s">
        <v>265</v>
      </c>
      <c r="J310" s="723" t="s">
        <v>266</v>
      </c>
      <c r="K310" s="196"/>
      <c r="L310" s="590" t="s">
        <v>618</v>
      </c>
      <c r="M310" s="590" t="s">
        <v>231</v>
      </c>
      <c r="N310" s="646"/>
      <c r="O310" s="646"/>
      <c r="P310" s="646"/>
      <c r="Q310" s="646"/>
      <c r="R310" s="646"/>
    </row>
    <row r="311" spans="1:18" ht="16.5" thickBot="1" x14ac:dyDescent="0.3">
      <c r="A311" s="646"/>
      <c r="B311" s="646"/>
      <c r="C311" s="197" t="s">
        <v>152</v>
      </c>
      <c r="D311" s="197"/>
      <c r="E311" s="197"/>
      <c r="F311" s="727" t="s">
        <v>606</v>
      </c>
      <c r="G311" s="198" t="s">
        <v>147</v>
      </c>
      <c r="H311" s="198" t="s">
        <v>147</v>
      </c>
      <c r="I311" s="722" t="s">
        <v>267</v>
      </c>
      <c r="J311" s="722" t="s">
        <v>267</v>
      </c>
      <c r="K311" s="199"/>
      <c r="L311" s="722" t="s">
        <v>619</v>
      </c>
      <c r="M311" s="722" t="s">
        <v>148</v>
      </c>
      <c r="N311" s="646"/>
      <c r="O311" s="646"/>
      <c r="P311" s="646"/>
      <c r="Q311" s="646"/>
      <c r="R311" s="646"/>
    </row>
    <row r="312" spans="1:18" x14ac:dyDescent="0.25">
      <c r="A312" s="646"/>
      <c r="B312" s="646"/>
      <c r="L312" s="646"/>
      <c r="M312" s="646"/>
      <c r="N312" s="646"/>
      <c r="O312" s="646"/>
      <c r="P312" s="646"/>
      <c r="Q312" s="646"/>
      <c r="R312" s="646"/>
    </row>
    <row r="313" spans="1:18" x14ac:dyDescent="0.25">
      <c r="A313" s="646"/>
      <c r="B313" s="646"/>
      <c r="C313" s="700" t="s">
        <v>738</v>
      </c>
      <c r="L313" s="646"/>
      <c r="M313" s="646"/>
      <c r="N313" s="646"/>
      <c r="O313" s="646"/>
      <c r="P313" s="646"/>
      <c r="Q313" s="646"/>
      <c r="R313" s="646"/>
    </row>
    <row r="314" spans="1:18" x14ac:dyDescent="0.25">
      <c r="A314" s="646"/>
      <c r="B314" s="646"/>
      <c r="C314" s="803" t="s">
        <v>739</v>
      </c>
      <c r="L314" s="646"/>
      <c r="M314" s="646"/>
      <c r="N314" s="646"/>
      <c r="O314" s="646"/>
      <c r="P314" s="646"/>
      <c r="Q314" s="646"/>
      <c r="R314" s="646"/>
    </row>
    <row r="315" spans="1:18" x14ac:dyDescent="0.25">
      <c r="A315" s="646"/>
      <c r="B315" s="646"/>
      <c r="C315" s="201" t="s">
        <v>718</v>
      </c>
      <c r="D315" s="225"/>
      <c r="L315" s="646"/>
      <c r="M315" s="646"/>
      <c r="N315" s="646"/>
      <c r="O315" s="646"/>
      <c r="P315" s="646"/>
      <c r="Q315" s="646"/>
      <c r="R315" s="646"/>
    </row>
    <row r="316" spans="1:18" x14ac:dyDescent="0.25">
      <c r="A316" s="646"/>
      <c r="B316" s="646"/>
      <c r="C316" s="203"/>
      <c r="D316" s="193" t="s">
        <v>270</v>
      </c>
      <c r="F316" s="751">
        <v>12</v>
      </c>
      <c r="I316" s="205">
        <f>I51</f>
        <v>180</v>
      </c>
      <c r="J316" s="216">
        <f>+F316*I316</f>
        <v>2160</v>
      </c>
      <c r="K316" s="216"/>
      <c r="L316" s="205">
        <f>L51</f>
        <v>285</v>
      </c>
      <c r="M316" s="216">
        <f>F316*L316</f>
        <v>3420</v>
      </c>
      <c r="N316" s="646"/>
      <c r="O316" s="646"/>
      <c r="P316" s="646"/>
      <c r="Q316" s="646"/>
      <c r="R316" s="646"/>
    </row>
    <row r="317" spans="1:18" x14ac:dyDescent="0.25">
      <c r="A317" s="646"/>
      <c r="B317" s="646"/>
      <c r="G317" s="759"/>
      <c r="J317" s="216"/>
      <c r="K317" s="216"/>
      <c r="L317" s="646"/>
      <c r="M317" s="646"/>
      <c r="N317" s="646"/>
      <c r="O317" s="646"/>
      <c r="P317" s="646"/>
      <c r="Q317" s="670"/>
      <c r="R317" s="646"/>
    </row>
    <row r="318" spans="1:18" x14ac:dyDescent="0.25">
      <c r="A318" s="646"/>
      <c r="B318" s="646"/>
      <c r="D318" s="193" t="s">
        <v>0</v>
      </c>
      <c r="G318" s="758"/>
      <c r="I318" s="320"/>
      <c r="J318" s="216"/>
      <c r="K318" s="216"/>
      <c r="L318" s="208"/>
      <c r="N318" s="646"/>
      <c r="O318" s="646" t="s">
        <v>768</v>
      </c>
      <c r="P318" s="646" t="s">
        <v>769</v>
      </c>
      <c r="Q318" s="667"/>
      <c r="R318" s="646"/>
    </row>
    <row r="319" spans="1:18" x14ac:dyDescent="0.25">
      <c r="A319" s="646"/>
      <c r="B319" s="646"/>
      <c r="D319" s="215" t="s">
        <v>276</v>
      </c>
      <c r="G319" s="758">
        <v>2970.2</v>
      </c>
      <c r="I319" s="247">
        <f>I54</f>
        <v>2.1504000000000003</v>
      </c>
      <c r="J319" s="216">
        <f>G319*I319</f>
        <v>6387.1180800000002</v>
      </c>
      <c r="K319" s="216"/>
      <c r="L319" s="247">
        <f>0.3767*O58</f>
        <v>0.36331192021668662</v>
      </c>
      <c r="M319" s="216">
        <f>G319*L319</f>
        <v>1079.1090654276024</v>
      </c>
      <c r="N319" s="646"/>
      <c r="O319" s="646"/>
      <c r="P319" s="646"/>
      <c r="Q319" s="646"/>
      <c r="R319" s="646"/>
    </row>
    <row r="320" spans="1:18" x14ac:dyDescent="0.25">
      <c r="A320" s="646"/>
      <c r="B320" s="646"/>
      <c r="D320" s="215"/>
      <c r="G320" s="758"/>
      <c r="I320" s="208"/>
      <c r="J320" s="216"/>
      <c r="K320" s="216"/>
      <c r="L320" s="208"/>
      <c r="M320" s="216"/>
      <c r="N320" s="646"/>
      <c r="O320" s="646"/>
      <c r="P320" s="646"/>
      <c r="Q320" s="646"/>
      <c r="R320" s="646"/>
    </row>
    <row r="321" spans="1:18" x14ac:dyDescent="0.25">
      <c r="A321" s="646"/>
      <c r="B321" s="646"/>
      <c r="D321" s="193" t="s">
        <v>214</v>
      </c>
      <c r="G321" s="758">
        <f>608.6*12</f>
        <v>7303.2000000000007</v>
      </c>
      <c r="I321" s="247"/>
      <c r="J321" s="216">
        <f>G321*I321</f>
        <v>0</v>
      </c>
      <c r="K321" s="216"/>
      <c r="L321" s="247">
        <f>6.27*O58</f>
        <v>6.0471615071904035</v>
      </c>
      <c r="M321" s="216">
        <f>G321*L321</f>
        <v>44163.62991931296</v>
      </c>
      <c r="N321" s="646"/>
      <c r="O321" s="646"/>
      <c r="P321" s="646"/>
      <c r="Q321" s="646"/>
      <c r="R321" s="646"/>
    </row>
    <row r="322" spans="1:18" x14ac:dyDescent="0.25">
      <c r="A322" s="646"/>
      <c r="B322" s="646"/>
      <c r="G322" s="758"/>
      <c r="I322" s="247"/>
      <c r="J322" s="216"/>
      <c r="K322" s="216"/>
      <c r="L322" s="247"/>
      <c r="M322" s="216"/>
      <c r="N322" s="646"/>
      <c r="O322" s="646"/>
      <c r="P322" s="646"/>
      <c r="Q322" s="646"/>
      <c r="R322" s="646"/>
    </row>
    <row r="323" spans="1:18" x14ac:dyDescent="0.25">
      <c r="A323" s="646"/>
      <c r="B323" s="646"/>
      <c r="D323" s="209" t="s">
        <v>383</v>
      </c>
      <c r="G323" s="758"/>
      <c r="I323" s="247"/>
      <c r="J323" s="720">
        <f>SUM(J316:J321)</f>
        <v>8547.1180800000002</v>
      </c>
      <c r="K323" s="216"/>
      <c r="L323" s="247"/>
      <c r="M323" s="720">
        <f>SUM(M316:M321)</f>
        <v>48662.738984740565</v>
      </c>
      <c r="N323" s="646"/>
      <c r="O323" s="646"/>
      <c r="P323" s="646"/>
      <c r="Q323" s="646"/>
      <c r="R323" s="646"/>
    </row>
    <row r="324" spans="1:18" x14ac:dyDescent="0.25">
      <c r="A324" s="646"/>
      <c r="B324" s="646"/>
      <c r="G324" s="758"/>
      <c r="I324" s="247"/>
      <c r="J324" s="216"/>
      <c r="K324" s="216"/>
      <c r="L324" s="247"/>
      <c r="M324" s="216"/>
      <c r="N324" s="646"/>
      <c r="O324" s="646"/>
      <c r="P324" s="646"/>
      <c r="Q324" s="646"/>
      <c r="R324" s="646"/>
    </row>
    <row r="325" spans="1:18" x14ac:dyDescent="0.25">
      <c r="A325" s="646"/>
      <c r="B325" s="646"/>
      <c r="D325" s="214" t="s">
        <v>716</v>
      </c>
      <c r="G325" s="758"/>
      <c r="I325" s="716">
        <f>'Revenue Summary B'!N35</f>
        <v>0.99999977536292939</v>
      </c>
      <c r="J325" s="216"/>
      <c r="K325" s="216"/>
      <c r="L325" s="716">
        <f>I325</f>
        <v>0.99999977536292939</v>
      </c>
      <c r="M325" s="216"/>
      <c r="N325" s="646"/>
      <c r="O325" s="646"/>
      <c r="P325" s="646"/>
      <c r="Q325" s="646"/>
      <c r="R325" s="646"/>
    </row>
    <row r="326" spans="1:18" x14ac:dyDescent="0.25">
      <c r="A326" s="646"/>
      <c r="B326" s="646"/>
      <c r="D326" s="203"/>
      <c r="G326" s="758"/>
      <c r="I326" s="247"/>
      <c r="J326" s="216"/>
      <c r="K326" s="216"/>
      <c r="L326" s="247"/>
      <c r="M326" s="216"/>
      <c r="N326" s="646"/>
      <c r="O326" s="646"/>
      <c r="P326" s="646"/>
      <c r="Q326" s="646"/>
      <c r="R326" s="646"/>
    </row>
    <row r="327" spans="1:18" x14ac:dyDescent="0.25">
      <c r="A327" s="646"/>
      <c r="B327" s="646"/>
      <c r="D327" s="203" t="s">
        <v>717</v>
      </c>
      <c r="G327" s="758"/>
      <c r="I327" s="247"/>
      <c r="J327" s="720">
        <f>J323/I325</f>
        <v>8547.119999999999</v>
      </c>
      <c r="K327" s="216"/>
      <c r="L327" s="247"/>
      <c r="M327" s="720">
        <f>M323/L325</f>
        <v>48662.749916198154</v>
      </c>
      <c r="N327" s="646"/>
      <c r="O327" s="646"/>
      <c r="P327" s="646"/>
      <c r="Q327" s="646"/>
      <c r="R327" s="646"/>
    </row>
    <row r="328" spans="1:18" x14ac:dyDescent="0.25">
      <c r="A328" s="646"/>
      <c r="B328" s="646"/>
      <c r="G328" s="758"/>
      <c r="I328" s="247"/>
      <c r="J328" s="216"/>
      <c r="K328" s="216"/>
      <c r="L328" s="247"/>
      <c r="M328" s="216"/>
      <c r="N328" s="646"/>
      <c r="O328" s="646"/>
      <c r="P328" s="646"/>
      <c r="Q328" s="646"/>
      <c r="R328" s="646"/>
    </row>
    <row r="329" spans="1:18" x14ac:dyDescent="0.25">
      <c r="A329" s="646"/>
      <c r="B329" s="646"/>
      <c r="D329" s="193" t="s">
        <v>452</v>
      </c>
      <c r="G329" s="759"/>
      <c r="I329" s="320"/>
      <c r="J329" s="223">
        <v>10099.84</v>
      </c>
      <c r="K329" s="205"/>
      <c r="L329" s="646"/>
      <c r="M329" s="223">
        <f>J329</f>
        <v>10099.84</v>
      </c>
      <c r="N329" s="646"/>
      <c r="O329" s="646"/>
      <c r="P329" s="646"/>
      <c r="Q329" s="646"/>
      <c r="R329" s="646"/>
    </row>
    <row r="330" spans="1:18" x14ac:dyDescent="0.25">
      <c r="A330" s="646"/>
      <c r="B330" s="646"/>
      <c r="D330" s="193" t="s">
        <v>453</v>
      </c>
      <c r="I330" s="320"/>
      <c r="J330" s="223">
        <v>16.079999999999998</v>
      </c>
      <c r="K330" s="205"/>
      <c r="L330" s="646"/>
      <c r="M330" s="223">
        <f>J330</f>
        <v>16.079999999999998</v>
      </c>
      <c r="N330" s="646"/>
      <c r="O330" s="646"/>
      <c r="P330" s="646"/>
      <c r="Q330" s="646"/>
      <c r="R330" s="646"/>
    </row>
    <row r="331" spans="1:18" x14ac:dyDescent="0.25">
      <c r="A331" s="646"/>
      <c r="B331" s="646"/>
      <c r="D331" s="193" t="s">
        <v>415</v>
      </c>
      <c r="J331" s="223">
        <v>546.24</v>
      </c>
      <c r="K331" s="223"/>
      <c r="L331" s="646"/>
      <c r="M331" s="223">
        <v>69.760000000000005</v>
      </c>
      <c r="N331" s="646"/>
      <c r="O331" s="646"/>
      <c r="P331" s="646"/>
      <c r="Q331" s="646"/>
      <c r="R331" s="646"/>
    </row>
    <row r="332" spans="1:18" x14ac:dyDescent="0.25">
      <c r="A332" s="646"/>
      <c r="B332" s="646"/>
      <c r="J332" s="223"/>
      <c r="K332" s="223"/>
      <c r="L332" s="646"/>
      <c r="M332" s="646"/>
      <c r="N332" s="646"/>
      <c r="O332" s="646"/>
      <c r="P332" s="646"/>
      <c r="Q332" s="646"/>
      <c r="R332" s="646"/>
    </row>
    <row r="333" spans="1:18" ht="16.5" thickBot="1" x14ac:dyDescent="0.3">
      <c r="A333" s="646"/>
      <c r="B333" s="646"/>
      <c r="D333" s="204"/>
      <c r="G333" s="759"/>
      <c r="J333" s="346">
        <f>SUM(J327:J331)</f>
        <v>19209.280000000002</v>
      </c>
      <c r="K333" s="216"/>
      <c r="L333" s="646"/>
      <c r="M333" s="346">
        <f>SUM(M327:M331)</f>
        <v>58848.429916198154</v>
      </c>
      <c r="N333" s="646"/>
      <c r="O333" s="690"/>
      <c r="P333" s="646"/>
      <c r="Q333" s="646"/>
      <c r="R333" s="646"/>
    </row>
    <row r="334" spans="1:18" ht="16.5" thickTop="1" x14ac:dyDescent="0.25">
      <c r="A334" s="646"/>
      <c r="B334" s="646"/>
      <c r="D334" s="220"/>
      <c r="G334" s="759"/>
      <c r="I334" s="208"/>
      <c r="J334" s="223"/>
      <c r="K334" s="223"/>
      <c r="L334" s="646"/>
      <c r="M334" s="646"/>
      <c r="N334" s="646"/>
      <c r="O334" s="646"/>
      <c r="P334" s="646"/>
      <c r="Q334" s="646"/>
      <c r="R334" s="646"/>
    </row>
    <row r="335" spans="1:18" x14ac:dyDescent="0.25">
      <c r="A335" s="646"/>
      <c r="B335" s="646"/>
      <c r="D335" s="207" t="s">
        <v>702</v>
      </c>
      <c r="G335" s="759"/>
      <c r="I335" s="208"/>
      <c r="J335" s="320"/>
      <c r="K335" s="320"/>
      <c r="L335" s="646"/>
      <c r="M335" s="216">
        <f>M333-J333</f>
        <v>39639.149916198148</v>
      </c>
      <c r="N335" s="646"/>
      <c r="O335" s="646"/>
      <c r="P335" s="646"/>
      <c r="Q335" s="646"/>
      <c r="R335" s="646"/>
    </row>
    <row r="336" spans="1:18" x14ac:dyDescent="0.25">
      <c r="A336" s="646"/>
      <c r="B336" s="646"/>
      <c r="C336" s="320"/>
      <c r="D336" s="320"/>
      <c r="E336" s="320"/>
      <c r="F336" s="739"/>
      <c r="G336" s="739"/>
      <c r="H336" s="739"/>
      <c r="I336" s="320"/>
      <c r="K336" s="223"/>
      <c r="L336" s="646"/>
      <c r="M336" s="633">
        <f>M335/J333</f>
        <v>2.0635416796568191</v>
      </c>
      <c r="N336" s="646"/>
      <c r="O336" s="646"/>
      <c r="P336" s="646"/>
      <c r="Q336" s="646"/>
      <c r="R336" s="646"/>
    </row>
    <row r="337" spans="1:18" x14ac:dyDescent="0.25">
      <c r="A337" s="646"/>
      <c r="B337" s="646"/>
      <c r="C337" s="204"/>
      <c r="L337" s="646"/>
      <c r="M337" s="646"/>
      <c r="N337" s="646"/>
      <c r="O337" s="646"/>
      <c r="P337" s="646"/>
      <c r="Q337" s="646"/>
      <c r="R337" s="646"/>
    </row>
    <row r="338" spans="1:18" x14ac:dyDescent="0.25">
      <c r="A338" s="646"/>
      <c r="B338" s="646"/>
      <c r="C338" s="646"/>
      <c r="D338" s="646"/>
      <c r="E338" s="646"/>
      <c r="F338" s="725"/>
      <c r="G338" s="725"/>
      <c r="H338" s="725"/>
      <c r="I338" s="646"/>
      <c r="J338" s="646"/>
      <c r="K338" s="646"/>
      <c r="L338" s="646"/>
      <c r="M338" s="646"/>
      <c r="N338" s="646"/>
      <c r="O338" s="646"/>
      <c r="P338" s="646"/>
      <c r="Q338" s="646"/>
      <c r="R338" s="646"/>
    </row>
    <row r="339" spans="1:18" x14ac:dyDescent="0.25">
      <c r="A339" s="646"/>
      <c r="B339" s="646"/>
      <c r="C339" s="646"/>
      <c r="D339" s="646"/>
      <c r="E339" s="646"/>
      <c r="F339" s="725"/>
      <c r="G339" s="725"/>
      <c r="H339" s="725"/>
      <c r="I339" s="646"/>
      <c r="J339" s="646"/>
      <c r="K339" s="646"/>
      <c r="L339" s="646"/>
      <c r="M339" s="646"/>
      <c r="N339" s="646"/>
      <c r="O339" s="646"/>
      <c r="P339" s="646"/>
      <c r="Q339" s="646"/>
      <c r="R339" s="646"/>
    </row>
    <row r="340" spans="1:18" x14ac:dyDescent="0.25">
      <c r="A340" s="646"/>
      <c r="B340" s="646"/>
      <c r="C340" s="646"/>
      <c r="D340" s="646"/>
      <c r="E340" s="646"/>
      <c r="F340" s="725"/>
      <c r="G340" s="725"/>
      <c r="H340" s="725"/>
      <c r="I340" s="646"/>
      <c r="J340" s="646"/>
      <c r="K340" s="646"/>
      <c r="L340" s="646"/>
      <c r="M340" s="646"/>
      <c r="N340" s="646"/>
      <c r="O340" s="646"/>
    </row>
    <row r="341" spans="1:18" x14ac:dyDescent="0.25">
      <c r="A341" s="646"/>
      <c r="B341" s="646"/>
      <c r="C341" s="646"/>
      <c r="D341" s="646"/>
      <c r="E341" s="646"/>
      <c r="F341" s="725"/>
      <c r="G341" s="725"/>
      <c r="H341" s="725"/>
      <c r="I341" s="646"/>
      <c r="J341" s="646"/>
      <c r="K341" s="646"/>
      <c r="L341" s="646"/>
      <c r="M341" s="646"/>
      <c r="N341" s="646"/>
      <c r="O341" s="646"/>
    </row>
    <row r="342" spans="1:18" x14ac:dyDescent="0.25">
      <c r="A342" s="646"/>
      <c r="B342" s="646"/>
      <c r="C342" s="646"/>
      <c r="D342" s="646"/>
      <c r="E342" s="646"/>
      <c r="F342" s="725"/>
      <c r="G342" s="725"/>
      <c r="H342" s="725"/>
      <c r="I342" s="646"/>
      <c r="J342" s="646"/>
      <c r="K342" s="646"/>
      <c r="L342" s="646"/>
      <c r="M342" s="646"/>
      <c r="N342" s="646"/>
      <c r="O342" s="646"/>
    </row>
    <row r="343" spans="1:18" x14ac:dyDescent="0.25">
      <c r="A343" s="646"/>
      <c r="B343" s="646"/>
      <c r="C343" s="646"/>
      <c r="D343" s="646"/>
      <c r="E343" s="646"/>
      <c r="F343" s="725"/>
      <c r="G343" s="725"/>
      <c r="H343" s="725"/>
      <c r="I343" s="646"/>
      <c r="J343" s="646"/>
      <c r="K343" s="646"/>
      <c r="L343" s="646"/>
      <c r="M343" s="646"/>
      <c r="N343" s="646"/>
      <c r="O343" s="646"/>
    </row>
  </sheetData>
  <mergeCells count="16">
    <mergeCell ref="I306:J306"/>
    <mergeCell ref="L308:M308"/>
    <mergeCell ref="I4:J4"/>
    <mergeCell ref="I39:J39"/>
    <mergeCell ref="I86:J86"/>
    <mergeCell ref="I146:J146"/>
    <mergeCell ref="I196:J196"/>
    <mergeCell ref="L274:M274"/>
    <mergeCell ref="I272:J272"/>
    <mergeCell ref="L6:M6"/>
    <mergeCell ref="L41:M41"/>
    <mergeCell ref="L88:M88"/>
    <mergeCell ref="L148:M148"/>
    <mergeCell ref="L198:M198"/>
    <mergeCell ref="L242:M242"/>
    <mergeCell ref="I240:J240"/>
  </mergeCells>
  <printOptions horizontalCentered="1"/>
  <pageMargins left="0.75" right="0.75" top="1.75" bottom="0.5" header="0.75" footer="0.25"/>
  <pageSetup scale="49" firstPageNumber="2" fitToWidth="0" fitToHeight="0" orientation="landscape" useFirstPageNumber="1" r:id="rId1"/>
  <headerFooter>
    <oddHeader>&amp;C&amp;"Times New Roman,Bold"&amp;12Louisville Gas and Electric Company
Case No. 2016-00371
Calculation of Proposed Gas Rate Increase
Forecast Period Sales for the Twelve Months Ended June 30, 2018
Gas Operations</oddHeader>
    <oddFooter>&amp;R&amp;"-,Bold"&amp;14Stipulation Exhibit 6
Page &amp;P of 9</oddFooter>
  </headerFooter>
  <rowBreaks count="7" manualBreakCount="7">
    <brk id="35" max="16383" man="1"/>
    <brk id="82" max="16383" man="1"/>
    <brk id="142" min="2" max="12" man="1"/>
    <brk id="192" max="16383" man="1"/>
    <brk id="236" max="16383" man="1"/>
    <brk id="268" max="16383" man="1"/>
    <brk id="302" min="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AC107"/>
  <sheetViews>
    <sheetView topLeftCell="C1" workbookViewId="0"/>
  </sheetViews>
  <sheetFormatPr defaultColWidth="9.140625" defaultRowHeight="15.75" x14ac:dyDescent="0.25"/>
  <cols>
    <col min="1" max="1" width="21.7109375" style="58" customWidth="1"/>
    <col min="2" max="2" width="63.7109375" style="204" bestFit="1" customWidth="1"/>
    <col min="3" max="3" width="26.5703125" style="204" customWidth="1"/>
    <col min="4" max="4" width="17.85546875" style="226" customWidth="1"/>
    <col min="5" max="5" width="19" style="226" customWidth="1"/>
    <col min="6" max="6" width="20.42578125" style="226" customWidth="1"/>
    <col min="7" max="8" width="16.7109375" style="226" customWidth="1"/>
    <col min="9" max="9" width="18.140625" style="226" customWidth="1"/>
    <col min="10" max="10" width="19" style="226" customWidth="1"/>
    <col min="11" max="11" width="2.7109375" style="233" customWidth="1"/>
    <col min="12" max="13" width="16.7109375" style="226" customWidth="1"/>
    <col min="14" max="14" width="16.7109375" style="774" customWidth="1"/>
    <col min="15" max="15" width="25.42578125" style="775" customWidth="1"/>
    <col min="16" max="16" width="18.85546875" style="776" customWidth="1"/>
    <col min="17" max="17" width="18.85546875" style="378" customWidth="1"/>
    <col min="18" max="18" width="18.85546875" style="764" customWidth="1"/>
    <col min="19" max="19" width="9.28515625" style="227" bestFit="1" customWidth="1"/>
    <col min="20" max="20" width="17.5703125" style="227" bestFit="1" customWidth="1"/>
    <col min="21" max="21" width="9.140625" style="227"/>
    <col min="22" max="22" width="16.42578125" style="227" customWidth="1"/>
    <col min="23" max="25" width="9.140625" style="227"/>
    <col min="26" max="16384" width="9.140625" style="58"/>
  </cols>
  <sheetData>
    <row r="1" spans="1:29" x14ac:dyDescent="0.25">
      <c r="D1" s="244" t="s">
        <v>224</v>
      </c>
      <c r="E1" s="244" t="s">
        <v>225</v>
      </c>
      <c r="F1" s="244" t="s">
        <v>226</v>
      </c>
      <c r="G1" s="244" t="s">
        <v>227</v>
      </c>
      <c r="H1" s="244" t="s">
        <v>437</v>
      </c>
      <c r="I1" s="244" t="s">
        <v>228</v>
      </c>
      <c r="J1" s="244" t="s">
        <v>229</v>
      </c>
      <c r="K1" s="310"/>
      <c r="L1" s="244" t="s">
        <v>400</v>
      </c>
      <c r="M1" s="244" t="s">
        <v>401</v>
      </c>
      <c r="N1" s="777" t="s">
        <v>221</v>
      </c>
      <c r="O1" s="778" t="s">
        <v>402</v>
      </c>
      <c r="P1" s="244" t="s">
        <v>403</v>
      </c>
      <c r="Q1" s="311" t="s">
        <v>404</v>
      </c>
      <c r="R1" s="227"/>
      <c r="S1" s="238"/>
      <c r="T1" s="238"/>
      <c r="U1" s="238"/>
      <c r="V1" s="238"/>
      <c r="W1" s="238"/>
      <c r="X1" s="238"/>
      <c r="Y1" s="238"/>
      <c r="Z1" s="238"/>
      <c r="AA1" s="227"/>
      <c r="AB1" s="227"/>
      <c r="AC1" s="227"/>
    </row>
    <row r="2" spans="1:29" x14ac:dyDescent="0.25">
      <c r="E2" s="227"/>
      <c r="H2" s="228"/>
      <c r="I2" s="228"/>
      <c r="J2" s="228"/>
      <c r="K2" s="312"/>
      <c r="O2" s="776"/>
      <c r="P2" s="378"/>
      <c r="Q2" s="764"/>
      <c r="R2" s="227"/>
      <c r="S2" s="238"/>
      <c r="T2" s="238"/>
      <c r="U2" s="238"/>
      <c r="V2" s="238"/>
      <c r="W2" s="238"/>
      <c r="X2" s="238"/>
      <c r="Y2" s="238"/>
      <c r="Z2" s="238"/>
      <c r="AA2" s="227"/>
      <c r="AB2" s="227"/>
      <c r="AC2" s="227"/>
    </row>
    <row r="3" spans="1:29" x14ac:dyDescent="0.25">
      <c r="B3" s="313"/>
      <c r="C3" s="313"/>
      <c r="D3" s="378"/>
      <c r="E3" s="378" t="s">
        <v>230</v>
      </c>
      <c r="F3" s="378" t="s">
        <v>217</v>
      </c>
      <c r="G3" s="378" t="s">
        <v>220</v>
      </c>
      <c r="H3" s="379"/>
      <c r="I3" s="379"/>
      <c r="J3" s="378"/>
      <c r="K3" s="314"/>
      <c r="L3" s="228"/>
      <c r="M3" s="229" t="s">
        <v>231</v>
      </c>
      <c r="O3" s="776"/>
      <c r="P3" s="378" t="s">
        <v>220</v>
      </c>
      <c r="Q3" s="766" t="s">
        <v>213</v>
      </c>
      <c r="R3" s="227"/>
      <c r="S3" s="238"/>
      <c r="T3" s="238"/>
      <c r="U3" s="238"/>
      <c r="V3" s="238"/>
      <c r="W3" s="238"/>
      <c r="X3" s="238"/>
      <c r="Y3" s="238"/>
      <c r="Z3" s="238"/>
      <c r="AA3" s="227"/>
      <c r="AB3" s="227"/>
      <c r="AC3" s="227"/>
    </row>
    <row r="4" spans="1:29" x14ac:dyDescent="0.25">
      <c r="D4" s="378" t="s">
        <v>148</v>
      </c>
      <c r="E4" s="378" t="s">
        <v>183</v>
      </c>
      <c r="F4" s="378" t="s">
        <v>232</v>
      </c>
      <c r="G4" s="378" t="s">
        <v>233</v>
      </c>
      <c r="H4" s="378" t="s">
        <v>220</v>
      </c>
      <c r="I4" s="378" t="s">
        <v>220</v>
      </c>
      <c r="J4" s="378" t="s">
        <v>222</v>
      </c>
      <c r="K4" s="314"/>
      <c r="L4" s="229" t="s">
        <v>222</v>
      </c>
      <c r="M4" s="229" t="s">
        <v>222</v>
      </c>
      <c r="N4" s="779" t="s">
        <v>234</v>
      </c>
      <c r="O4" s="776"/>
      <c r="P4" s="765" t="s">
        <v>213</v>
      </c>
      <c r="Q4" s="764" t="s">
        <v>235</v>
      </c>
      <c r="R4" s="227"/>
      <c r="S4" s="238"/>
      <c r="T4" s="238"/>
      <c r="U4" s="238"/>
      <c r="V4" s="238"/>
      <c r="W4" s="238"/>
      <c r="X4" s="238"/>
      <c r="Y4" s="238"/>
      <c r="Z4" s="238"/>
      <c r="AA4" s="227"/>
      <c r="AB4" s="227"/>
      <c r="AC4" s="227"/>
    </row>
    <row r="5" spans="1:29" x14ac:dyDescent="0.25">
      <c r="B5" s="315"/>
      <c r="C5" s="315"/>
      <c r="D5" s="378" t="s">
        <v>236</v>
      </c>
      <c r="E5" s="378" t="s">
        <v>237</v>
      </c>
      <c r="F5" s="378" t="s">
        <v>238</v>
      </c>
      <c r="G5" s="378" t="s">
        <v>239</v>
      </c>
      <c r="H5" s="378" t="s">
        <v>216</v>
      </c>
      <c r="I5" s="378" t="s">
        <v>415</v>
      </c>
      <c r="J5" s="378" t="s">
        <v>148</v>
      </c>
      <c r="K5" s="316"/>
      <c r="L5" s="229" t="s">
        <v>148</v>
      </c>
      <c r="M5" s="229" t="s">
        <v>148</v>
      </c>
      <c r="N5" s="779" t="s">
        <v>240</v>
      </c>
      <c r="O5" s="780" t="s">
        <v>213</v>
      </c>
      <c r="P5" s="378" t="s">
        <v>241</v>
      </c>
      <c r="Q5" s="764" t="s">
        <v>242</v>
      </c>
      <c r="R5" s="227"/>
      <c r="S5" s="238"/>
      <c r="T5" s="238"/>
      <c r="U5" s="238"/>
      <c r="V5" s="238"/>
      <c r="W5" s="238"/>
      <c r="X5" s="238"/>
      <c r="Y5" s="238"/>
      <c r="Z5" s="238"/>
      <c r="AA5" s="227"/>
      <c r="AB5" s="227"/>
      <c r="AC5" s="227"/>
    </row>
    <row r="6" spans="1:29" x14ac:dyDescent="0.25">
      <c r="B6" s="315"/>
      <c r="C6" s="315"/>
      <c r="D6" s="380" t="s">
        <v>600</v>
      </c>
      <c r="E6" s="381" t="s">
        <v>601</v>
      </c>
      <c r="F6" s="381" t="s">
        <v>601</v>
      </c>
      <c r="G6" s="381" t="s">
        <v>601</v>
      </c>
      <c r="H6" s="381" t="s">
        <v>601</v>
      </c>
      <c r="I6" s="381" t="s">
        <v>601</v>
      </c>
      <c r="J6" s="382" t="s">
        <v>472</v>
      </c>
      <c r="K6" s="316"/>
      <c r="L6" s="230" t="s">
        <v>243</v>
      </c>
      <c r="M6" s="230" t="s">
        <v>721</v>
      </c>
      <c r="N6" s="781" t="s">
        <v>244</v>
      </c>
      <c r="O6" s="782" t="s">
        <v>601</v>
      </c>
      <c r="P6" s="794" t="s">
        <v>245</v>
      </c>
      <c r="Q6" s="767" t="s">
        <v>246</v>
      </c>
      <c r="R6" s="227"/>
      <c r="S6" s="238"/>
      <c r="T6" s="238"/>
      <c r="U6" s="238"/>
      <c r="V6" s="238"/>
      <c r="W6" s="238"/>
      <c r="X6" s="238"/>
      <c r="Y6" s="238"/>
      <c r="Z6" s="238"/>
      <c r="AA6" s="227"/>
      <c r="AB6" s="227"/>
      <c r="AC6" s="227"/>
    </row>
    <row r="7" spans="1:29" x14ac:dyDescent="0.25">
      <c r="B7" s="204" t="s">
        <v>247</v>
      </c>
      <c r="O7" s="776"/>
      <c r="P7" s="378"/>
      <c r="Q7" s="768"/>
      <c r="R7" s="227"/>
      <c r="S7" s="238"/>
      <c r="T7" s="238"/>
      <c r="U7" s="238"/>
      <c r="V7" s="238"/>
      <c r="W7" s="238"/>
      <c r="X7" s="317"/>
      <c r="Y7" s="238"/>
      <c r="Z7" s="238"/>
      <c r="AA7" s="227"/>
      <c r="AB7" s="227"/>
      <c r="AC7" s="227"/>
    </row>
    <row r="8" spans="1:29" x14ac:dyDescent="0.25">
      <c r="L8" s="231"/>
      <c r="M8" s="231"/>
      <c r="O8" s="776"/>
      <c r="P8" s="795"/>
      <c r="Q8" s="798"/>
      <c r="R8" s="227"/>
      <c r="S8" s="238"/>
      <c r="T8" s="238"/>
      <c r="U8" s="238"/>
      <c r="V8" s="238"/>
      <c r="W8" s="238"/>
      <c r="X8" s="238"/>
      <c r="Y8" s="238"/>
      <c r="Z8" s="238"/>
      <c r="AA8" s="227"/>
      <c r="AB8" s="227"/>
      <c r="AC8" s="227"/>
    </row>
    <row r="9" spans="1:29" x14ac:dyDescent="0.25">
      <c r="A9" s="58" t="s">
        <v>125</v>
      </c>
      <c r="B9" s="204" t="s">
        <v>248</v>
      </c>
      <c r="D9" s="231">
        <f ca="1">+'Summary SBR-Transport'!D6</f>
        <v>214163791.27000001</v>
      </c>
      <c r="E9" s="231">
        <f ca="1">SUMIF('12-MO Forecast Summary'!$E$6:$E$18,'Revenue Summary B'!$A9,'12-MO Forecast Summary'!$U$6:$U$18)</f>
        <v>84917418.250368789</v>
      </c>
      <c r="F9" s="231">
        <f ca="1">D9-E9</f>
        <v>129246373.01963122</v>
      </c>
      <c r="G9" s="231">
        <f ca="1">SUMIF('12-MO Forecast Summary'!$E$6:$E$18,'Revenue Summary B'!$A9,'12-MO Forecast Summary'!$V$6:$V$18)</f>
        <v>2013223.6865790721</v>
      </c>
      <c r="H9" s="231"/>
      <c r="I9" s="231">
        <f ca="1">SUMIF('12-MO Forecast Summary'!$E$6:$E$18,'Revenue Summary B'!$A9,'12-MO Forecast Summary'!$W$6:$W$18)</f>
        <v>23222068.37169949</v>
      </c>
      <c r="J9" s="231"/>
      <c r="K9" s="232"/>
      <c r="L9" s="231"/>
      <c r="M9" s="231"/>
      <c r="N9" s="783"/>
      <c r="O9" s="784">
        <f>+O10</f>
        <v>19516321.910371594</v>
      </c>
      <c r="P9" s="795"/>
      <c r="Q9" s="798">
        <f>O9-P9</f>
        <v>19516321.910371594</v>
      </c>
      <c r="R9" s="227"/>
      <c r="S9" s="318"/>
      <c r="T9" s="238"/>
      <c r="U9" s="239"/>
      <c r="V9" s="238"/>
      <c r="W9" s="238"/>
      <c r="X9" s="238"/>
      <c r="Y9" s="238"/>
      <c r="Z9" s="238"/>
      <c r="AA9" s="227"/>
      <c r="AB9" s="227"/>
      <c r="AC9" s="227"/>
    </row>
    <row r="10" spans="1:29" x14ac:dyDescent="0.25">
      <c r="B10" s="209" t="s">
        <v>249</v>
      </c>
      <c r="C10" s="209"/>
      <c r="D10" s="761">
        <f ca="1">D9</f>
        <v>214163791.27000001</v>
      </c>
      <c r="E10" s="761">
        <f ca="1">E9</f>
        <v>84917418.250368789</v>
      </c>
      <c r="F10" s="761">
        <f ca="1">D10-E10</f>
        <v>129246373.01963122</v>
      </c>
      <c r="G10" s="761">
        <f ca="1">SUM(G9:G9)</f>
        <v>2013223.6865790721</v>
      </c>
      <c r="H10" s="761"/>
      <c r="I10" s="761">
        <f ca="1">I9</f>
        <v>23222068.37169949</v>
      </c>
      <c r="J10" s="761">
        <f ca="1">ROUND(F10-G10-H10-I10,0)</f>
        <v>104011081</v>
      </c>
      <c r="L10" s="761">
        <f ca="1">J10</f>
        <v>104011081</v>
      </c>
      <c r="M10" s="761">
        <f ca="1">'Sch M-2.3 Pg. 2-9'!J19</f>
        <v>104011080.95742922</v>
      </c>
      <c r="N10" s="785">
        <f ca="1">M10/L10</f>
        <v>0.99999999959070918</v>
      </c>
      <c r="O10" s="786">
        <f>+'Summary SBR-Transport'!C5</f>
        <v>19516321.910371594</v>
      </c>
      <c r="P10" s="772"/>
      <c r="Q10" s="799">
        <f>O10-P10</f>
        <v>19516321.910371594</v>
      </c>
      <c r="R10" s="227"/>
      <c r="S10" s="318"/>
      <c r="T10" s="318"/>
      <c r="U10" s="318"/>
      <c r="V10" s="238"/>
      <c r="W10" s="238"/>
      <c r="X10" s="238"/>
      <c r="Y10" s="238"/>
      <c r="Z10" s="238"/>
      <c r="AA10" s="227"/>
      <c r="AB10" s="227"/>
      <c r="AC10" s="227"/>
    </row>
    <row r="11" spans="1:29" x14ac:dyDescent="0.25">
      <c r="B11" s="209"/>
      <c r="C11" s="209"/>
      <c r="D11" s="231"/>
      <c r="E11" s="231"/>
      <c r="F11" s="231"/>
      <c r="G11" s="231"/>
      <c r="H11" s="231"/>
      <c r="I11" s="231"/>
      <c r="J11" s="231"/>
      <c r="L11" s="231"/>
      <c r="M11" s="231">
        <f ca="1">L10-M10</f>
        <v>4.2570784687995911E-2</v>
      </c>
      <c r="N11" s="787"/>
      <c r="O11" s="784"/>
      <c r="P11" s="795"/>
      <c r="Q11" s="798"/>
      <c r="R11" s="227"/>
      <c r="S11" s="318"/>
      <c r="T11" s="238"/>
      <c r="U11" s="238"/>
      <c r="V11" s="238"/>
      <c r="W11" s="238"/>
      <c r="X11" s="238"/>
      <c r="Y11" s="238"/>
      <c r="Z11" s="238"/>
      <c r="AA11" s="227"/>
      <c r="AB11" s="227"/>
      <c r="AC11" s="227"/>
    </row>
    <row r="12" spans="1:29" x14ac:dyDescent="0.25">
      <c r="A12" s="58" t="s">
        <v>101</v>
      </c>
      <c r="B12" s="204" t="s">
        <v>250</v>
      </c>
      <c r="C12" s="724"/>
      <c r="D12" s="231">
        <f ca="1">+'Summary SBR-Transport'!D8-2160-6387-10099.84-16.08-546.24</f>
        <v>90227771.579999998</v>
      </c>
      <c r="E12" s="231">
        <f ca="1">(SUMIF('12-MO Forecast Summary'!$E$6:$E$18,'Revenue Summary B'!$A12,'12-MO Forecast Summary'!$U$6:$U$18))-10099.84</f>
        <v>43699222.094499528</v>
      </c>
      <c r="F12" s="232">
        <f ca="1">D12-E12</f>
        <v>46528549.48550047</v>
      </c>
      <c r="G12" s="231">
        <f ca="1">(SUMIF('12-MO Forecast Summary'!$E$6:$E$18,'Revenue Summary B'!$A12,'12-MO Forecast Summary'!$V$6:$V$18))-16.08</f>
        <v>1178151.7942125057</v>
      </c>
      <c r="H12" s="231"/>
      <c r="I12" s="231">
        <f ca="1">(SUMIF('12-MO Forecast Summary'!$E$6:$E$18,'Revenue Summary B'!$A12,'12-MO Forecast Summary'!$W$6:$W$18))-546.24</f>
        <v>9960508.4727250375</v>
      </c>
      <c r="J12" s="232">
        <f t="shared" ref="J12:J13" ca="1" si="0">F12-G12-H12-I12</f>
        <v>35389889.218562931</v>
      </c>
      <c r="L12" s="231">
        <f ca="1">J12</f>
        <v>35389889.218562931</v>
      </c>
      <c r="M12" s="231"/>
      <c r="O12" s="788">
        <f>+'Summary SBR-Transport'!C8</f>
        <v>10137905.826085171</v>
      </c>
      <c r="P12" s="795"/>
      <c r="Q12" s="768">
        <f>O12-P12</f>
        <v>10137905.826085171</v>
      </c>
      <c r="R12" s="227"/>
      <c r="S12" s="318"/>
      <c r="T12" s="238"/>
      <c r="U12" s="239"/>
      <c r="V12" s="238"/>
      <c r="W12" s="238"/>
      <c r="X12" s="238"/>
      <c r="Y12" s="238"/>
      <c r="Z12" s="238"/>
      <c r="AA12" s="227"/>
      <c r="AB12" s="227"/>
      <c r="AC12" s="227"/>
    </row>
    <row r="13" spans="1:29" x14ac:dyDescent="0.25">
      <c r="A13" s="234"/>
      <c r="B13" s="204" t="s">
        <v>251</v>
      </c>
      <c r="D13" s="231">
        <f>+'Summary SBR-Transport'!D9</f>
        <v>0</v>
      </c>
      <c r="E13" s="231">
        <f>SUMIF('12-MO Forecast Summary'!$E$6:$E$18,'Revenue Summary B'!$A13,'12-MO Forecast Summary'!$U$6:$U$18)</f>
        <v>0</v>
      </c>
      <c r="F13" s="232">
        <f>D13-E13</f>
        <v>0</v>
      </c>
      <c r="G13" s="231">
        <f>SUMIF('12-MO Forecast Summary'!$E$6:$E$18,'Revenue Summary B'!$A13,'12-MO Forecast Summary'!$V$6:$V$18)</f>
        <v>0</v>
      </c>
      <c r="H13" s="231"/>
      <c r="I13" s="231">
        <f>SUMIF('12-MO Forecast Summary'!$E$6:$E$18,'Revenue Summary B'!$A13,'12-MO Forecast Summary'!$W$6:$W$18)</f>
        <v>0</v>
      </c>
      <c r="J13" s="232">
        <f t="shared" si="0"/>
        <v>0</v>
      </c>
      <c r="L13" s="231">
        <f>J13</f>
        <v>0</v>
      </c>
      <c r="M13" s="231"/>
      <c r="O13" s="784">
        <f>+'Summary SBR-Transport'!C9</f>
        <v>0</v>
      </c>
      <c r="P13" s="795"/>
      <c r="Q13" s="798">
        <f>O13-P13</f>
        <v>0</v>
      </c>
      <c r="R13" s="227"/>
      <c r="S13" s="318"/>
      <c r="T13" s="238"/>
      <c r="U13" s="239"/>
      <c r="V13" s="238"/>
      <c r="W13" s="238"/>
      <c r="X13" s="238"/>
      <c r="Y13" s="238"/>
      <c r="Z13" s="238"/>
      <c r="AA13" s="227"/>
      <c r="AB13" s="227"/>
      <c r="AC13" s="227"/>
    </row>
    <row r="14" spans="1:29" x14ac:dyDescent="0.25">
      <c r="B14" s="209" t="s">
        <v>252</v>
      </c>
      <c r="C14" s="209"/>
      <c r="D14" s="761">
        <f ca="1">SUM(D12:D13)</f>
        <v>90227771.579999998</v>
      </c>
      <c r="E14" s="761">
        <f ca="1">SUM(E12:E13)</f>
        <v>43699222.094499528</v>
      </c>
      <c r="F14" s="761">
        <f ca="1">D14-E14</f>
        <v>46528549.48550047</v>
      </c>
      <c r="G14" s="761">
        <f ca="1">SUM(G12:G13)</f>
        <v>1178151.7942125057</v>
      </c>
      <c r="H14" s="761"/>
      <c r="I14" s="761">
        <f ca="1">SUM(I12:I13)</f>
        <v>9960508.4727250375</v>
      </c>
      <c r="J14" s="761">
        <f ca="1">F14-G14-H14-I14</f>
        <v>35389889.218562931</v>
      </c>
      <c r="L14" s="761">
        <f ca="1">J14</f>
        <v>35389889.218562931</v>
      </c>
      <c r="M14" s="761">
        <f>'Sch M-2.3 Pg. 2-9'!J58</f>
        <v>35389889.09023913</v>
      </c>
      <c r="N14" s="785">
        <f ca="1">M14/L14</f>
        <v>0.99999999637399828</v>
      </c>
      <c r="O14" s="786">
        <f>SUM(O12:O13)</f>
        <v>10137905.826085171</v>
      </c>
      <c r="P14" s="772"/>
      <c r="Q14" s="799">
        <f>O14-P14</f>
        <v>10137905.826085171</v>
      </c>
      <c r="R14" s="235"/>
      <c r="S14" s="318"/>
      <c r="T14" s="318"/>
      <c r="U14" s="318"/>
      <c r="V14" s="238"/>
      <c r="W14" s="238"/>
      <c r="X14" s="238"/>
      <c r="Y14" s="238"/>
      <c r="Z14" s="238"/>
      <c r="AA14" s="227"/>
      <c r="AB14" s="227"/>
      <c r="AC14" s="227"/>
    </row>
    <row r="15" spans="1:29" x14ac:dyDescent="0.25">
      <c r="B15" s="209"/>
      <c r="C15" s="209"/>
      <c r="D15" s="231"/>
      <c r="E15" s="231"/>
      <c r="F15" s="231"/>
      <c r="G15" s="231"/>
      <c r="H15" s="231"/>
      <c r="I15" s="231"/>
      <c r="J15" s="231"/>
      <c r="L15" s="231"/>
      <c r="M15" s="231">
        <f ca="1">L14-M14</f>
        <v>0.12832380086183548</v>
      </c>
      <c r="O15" s="784"/>
      <c r="P15" s="795"/>
      <c r="Q15" s="798"/>
      <c r="R15" s="227"/>
      <c r="S15" s="318"/>
      <c r="T15" s="238"/>
      <c r="U15" s="238"/>
      <c r="V15" s="238"/>
      <c r="W15" s="238"/>
      <c r="X15" s="238"/>
      <c r="Y15" s="238"/>
      <c r="Z15" s="238"/>
      <c r="AA15" s="227"/>
      <c r="AB15" s="227"/>
      <c r="AC15" s="227"/>
    </row>
    <row r="16" spans="1:29" x14ac:dyDescent="0.25">
      <c r="A16" s="236" t="s">
        <v>111</v>
      </c>
      <c r="B16" s="204" t="s">
        <v>253</v>
      </c>
      <c r="D16" s="231">
        <f ca="1">+'Summary SBR-Transport'!D12</f>
        <v>10665877.359999999</v>
      </c>
      <c r="E16" s="231">
        <f ca="1">SUMIF('12-MO Forecast Summary'!$E$6:$E$18,'Revenue Summary B'!$A16,'12-MO Forecast Summary'!$U$6:$U$18)</f>
        <v>6139166.1253399272</v>
      </c>
      <c r="F16" s="232">
        <f ca="1">D16-E16</f>
        <v>4526711.2346600723</v>
      </c>
      <c r="G16" s="231">
        <f ca="1">SUMIF('12-MO Forecast Summary'!$E$6:$E$18,'Revenue Summary B'!$A16,'12-MO Forecast Summary'!$V$6:$V$18)</f>
        <v>0</v>
      </c>
      <c r="H16" s="231"/>
      <c r="I16" s="231">
        <f ca="1">SUMIF('12-MO Forecast Summary'!$E$6:$E$18,'Revenue Summary B'!$A16,'12-MO Forecast Summary'!$W$6:$W$18)</f>
        <v>905992.209367592</v>
      </c>
      <c r="J16" s="232">
        <f t="shared" ref="J16:J18" ca="1" si="1">F16-G16-H16-I16</f>
        <v>3620719.0252924804</v>
      </c>
      <c r="L16" s="231">
        <f ca="1">J16</f>
        <v>3620719.0252924804</v>
      </c>
      <c r="M16" s="231"/>
      <c r="O16" s="788">
        <f>+'Summary SBR-Transport'!C12</f>
        <v>1488806.1080976345</v>
      </c>
      <c r="P16" s="795"/>
      <c r="Q16" s="768">
        <f>O16-P16</f>
        <v>1488806.1080976345</v>
      </c>
      <c r="R16" s="227"/>
      <c r="S16" s="318"/>
      <c r="T16" s="238"/>
      <c r="U16" s="239"/>
      <c r="V16" s="238"/>
      <c r="W16" s="238"/>
      <c r="X16" s="238"/>
      <c r="Y16" s="238"/>
      <c r="Z16" s="238"/>
      <c r="AA16" s="227"/>
      <c r="AB16" s="227"/>
      <c r="AC16" s="227"/>
    </row>
    <row r="17" spans="1:29" x14ac:dyDescent="0.25">
      <c r="A17" s="234" t="s">
        <v>483</v>
      </c>
      <c r="B17" s="204" t="s">
        <v>254</v>
      </c>
      <c r="D17" s="231">
        <f ca="1">'Summary SBR-Transport'!D13</f>
        <v>1045333.22</v>
      </c>
      <c r="E17" s="231">
        <f>SUMIF('12-MO Forecast Summary'!$E$6:$E$18,'Revenue Summary B'!$A17,'12-MO Forecast Summary'!$U$6:$U$18)</f>
        <v>0</v>
      </c>
      <c r="F17" s="232">
        <f ca="1">D17-E17</f>
        <v>1045333.22</v>
      </c>
      <c r="G17" s="231">
        <f>SUMIF('12-MO Forecast Summary'!$E$6:$E$18,'Revenue Summary B'!$A17,'12-MO Forecast Summary'!$V$6:$V$18)</f>
        <v>0</v>
      </c>
      <c r="H17" s="231"/>
      <c r="I17" s="231">
        <f>SUMIF('12-MO Forecast Summary'!$E$6:$E$18,'Revenue Summary B'!$A17,'12-MO Forecast Summary'!$W$6:$W$18)</f>
        <v>95485.002848615331</v>
      </c>
      <c r="J17" s="232">
        <f t="shared" ca="1" si="1"/>
        <v>949848.21715138468</v>
      </c>
      <c r="L17" s="231">
        <f t="shared" ref="L17:L18" ca="1" si="2">J17</f>
        <v>949848.21715138468</v>
      </c>
      <c r="M17" s="231"/>
      <c r="O17" s="784">
        <f>+'Summary SBR-Transport'!C13</f>
        <v>459927.30376795534</v>
      </c>
      <c r="P17" s="795"/>
      <c r="Q17" s="798">
        <f>O17-P17</f>
        <v>459927.30376795534</v>
      </c>
      <c r="R17" s="227"/>
      <c r="S17" s="318"/>
      <c r="T17" s="238"/>
      <c r="U17" s="239"/>
      <c r="V17" s="238"/>
      <c r="W17" s="238"/>
      <c r="X17" s="238"/>
      <c r="Y17" s="238"/>
      <c r="Z17" s="238"/>
      <c r="AA17" s="227"/>
      <c r="AB17" s="227"/>
      <c r="AC17" s="227"/>
    </row>
    <row r="18" spans="1:29" x14ac:dyDescent="0.25">
      <c r="A18" s="234"/>
      <c r="B18" s="204" t="s">
        <v>563</v>
      </c>
      <c r="D18" s="231">
        <f>'Summary SBR-Transport'!D35</f>
        <v>1800</v>
      </c>
      <c r="E18" s="231"/>
      <c r="F18" s="232">
        <f>D18-E18</f>
        <v>1800</v>
      </c>
      <c r="G18" s="231"/>
      <c r="H18" s="231"/>
      <c r="I18" s="762"/>
      <c r="J18" s="232">
        <f t="shared" si="1"/>
        <v>1800</v>
      </c>
      <c r="L18" s="231">
        <f t="shared" si="2"/>
        <v>1800</v>
      </c>
      <c r="M18" s="231"/>
      <c r="O18" s="784"/>
      <c r="P18" s="795"/>
      <c r="Q18" s="798"/>
      <c r="R18" s="227"/>
      <c r="S18" s="318"/>
      <c r="T18" s="238"/>
      <c r="U18" s="239"/>
      <c r="V18" s="238"/>
      <c r="W18" s="238"/>
      <c r="X18" s="238"/>
      <c r="Y18" s="238"/>
      <c r="Z18" s="238"/>
      <c r="AA18" s="227"/>
      <c r="AB18" s="227"/>
      <c r="AC18" s="227"/>
    </row>
    <row r="19" spans="1:29" x14ac:dyDescent="0.25">
      <c r="A19" s="236"/>
      <c r="B19" s="209" t="s">
        <v>255</v>
      </c>
      <c r="C19" s="209"/>
      <c r="D19" s="761">
        <f ca="1">SUM(D16:D18)</f>
        <v>11713010.58</v>
      </c>
      <c r="E19" s="761">
        <f ca="1">SUM(E16:E18)</f>
        <v>6139166.1253399272</v>
      </c>
      <c r="F19" s="761">
        <f ca="1">D19-E19</f>
        <v>5573844.4546600729</v>
      </c>
      <c r="G19" s="761">
        <f ca="1">SUM(G16:G18)</f>
        <v>0</v>
      </c>
      <c r="H19" s="761"/>
      <c r="I19" s="761">
        <f ca="1">SUM(I16:I18)</f>
        <v>1001477.2122162073</v>
      </c>
      <c r="J19" s="761">
        <f ca="1">F19-G19-H19-I19</f>
        <v>4572367.2424438652</v>
      </c>
      <c r="L19" s="761">
        <f ca="1">J19</f>
        <v>4572367.2424438652</v>
      </c>
      <c r="M19" s="761">
        <f>'Sch M-2.3 Pg. 2-9'!J105+'Sch M-2.3 Pg. 2-9'!J121+'Sch M-2.3 Pg. 2-9'!J136</f>
        <v>4572367.2493721368</v>
      </c>
      <c r="N19" s="789">
        <f ca="1">M19/L19</f>
        <v>1.0000000015152484</v>
      </c>
      <c r="O19" s="786">
        <f>SUM(O16:O17)</f>
        <v>1948733.4118655899</v>
      </c>
      <c r="P19" s="772"/>
      <c r="Q19" s="799">
        <f>O19-P19</f>
        <v>1948733.4118655899</v>
      </c>
      <c r="R19" s="227"/>
      <c r="S19" s="318"/>
      <c r="T19" s="238"/>
      <c r="U19" s="318"/>
      <c r="V19" s="238"/>
      <c r="W19" s="238"/>
      <c r="X19" s="238"/>
      <c r="Y19" s="238"/>
      <c r="Z19" s="238"/>
      <c r="AA19" s="227"/>
      <c r="AB19" s="227"/>
      <c r="AC19" s="227"/>
    </row>
    <row r="20" spans="1:29" x14ac:dyDescent="0.25">
      <c r="A20" s="236"/>
      <c r="B20" s="209"/>
      <c r="C20" s="209"/>
      <c r="D20" s="232"/>
      <c r="E20" s="232"/>
      <c r="F20" s="232"/>
      <c r="G20" s="232"/>
      <c r="H20" s="232"/>
      <c r="I20" s="232"/>
      <c r="J20" s="232"/>
      <c r="L20" s="232"/>
      <c r="M20" s="231">
        <f ca="1">L19-M19</f>
        <v>-6.9282716140151024E-3</v>
      </c>
      <c r="N20" s="790"/>
      <c r="O20" s="784"/>
      <c r="P20" s="795"/>
      <c r="Q20" s="798"/>
      <c r="R20" s="227"/>
      <c r="S20" s="318"/>
      <c r="T20" s="238"/>
      <c r="U20" s="318"/>
      <c r="V20" s="238"/>
      <c r="W20" s="238"/>
      <c r="X20" s="238"/>
      <c r="Y20" s="238"/>
      <c r="Z20" s="238"/>
      <c r="AA20" s="227"/>
      <c r="AB20" s="227"/>
      <c r="AC20" s="227"/>
    </row>
    <row r="21" spans="1:29" x14ac:dyDescent="0.25">
      <c r="A21" s="58" t="s">
        <v>103</v>
      </c>
      <c r="B21" s="204" t="s">
        <v>508</v>
      </c>
      <c r="D21" s="231">
        <f ca="1">SBR!E11</f>
        <v>7041.35</v>
      </c>
      <c r="E21" s="231">
        <f ca="1">SUMIF('12-MO Forecast Summary'!$E$6:$E$18,'Revenue Summary B'!$A21,'12-MO Forecast Summary'!$U$6:$U$18)</f>
        <v>29.58996422013707</v>
      </c>
      <c r="F21" s="232">
        <f ca="1">D21-E21</f>
        <v>7011.7600357798628</v>
      </c>
      <c r="G21" s="231">
        <f ca="1">SUMIF('12-MO Forecast Summary'!$E$6:$E$18,'Revenue Summary B'!$A21,'12-MO Forecast Summary'!$V$6:$V$18)</f>
        <v>1.3341336732703244</v>
      </c>
      <c r="H21" s="231"/>
      <c r="I21" s="231">
        <f ca="1">SUMIF('12-MO Forecast Summary'!$E$6:$E$18,'Revenue Summary B'!$A21,'12-MO Forecast Summary'!$W$6:$W$18)</f>
        <v>0</v>
      </c>
      <c r="J21" s="231"/>
      <c r="L21" s="231"/>
      <c r="M21" s="231"/>
      <c r="O21" s="788">
        <f>'Summary SBR-Transport'!C30</f>
        <v>7.1999999999999993</v>
      </c>
      <c r="P21" s="795"/>
      <c r="Q21" s="768">
        <f>O21-P21</f>
        <v>7.1999999999999993</v>
      </c>
      <c r="R21" s="227"/>
      <c r="S21" s="318"/>
      <c r="T21" s="238"/>
      <c r="U21" s="239"/>
      <c r="V21" s="238"/>
      <c r="W21" s="238"/>
      <c r="X21" s="238"/>
      <c r="Y21" s="238"/>
      <c r="Z21" s="238"/>
      <c r="AA21" s="227"/>
      <c r="AB21" s="227"/>
      <c r="AC21" s="227"/>
    </row>
    <row r="22" spans="1:29" x14ac:dyDescent="0.25">
      <c r="B22" s="209" t="s">
        <v>603</v>
      </c>
      <c r="D22" s="761">
        <f ca="1">SUM(D21)</f>
        <v>7041.35</v>
      </c>
      <c r="E22" s="761">
        <f ca="1">SUM(E21)</f>
        <v>29.58996422013707</v>
      </c>
      <c r="F22" s="761">
        <f ca="1">SUM(F21)</f>
        <v>7011.7600357798628</v>
      </c>
      <c r="G22" s="761">
        <f ca="1">SUM(G21)</f>
        <v>1.3341336732703244</v>
      </c>
      <c r="H22" s="761"/>
      <c r="I22" s="761">
        <f ca="1">SUM(I21)</f>
        <v>0</v>
      </c>
      <c r="J22" s="761">
        <f ca="1">ROUND(F22-G22-H22-I22,0)</f>
        <v>7010</v>
      </c>
      <c r="L22" s="761">
        <f ca="1">J22</f>
        <v>7010</v>
      </c>
      <c r="M22" s="761">
        <f ca="1">'Sch M-2.3 Pg. 2-9'!J289</f>
        <v>7010.4348</v>
      </c>
      <c r="N22" s="789">
        <f ca="1">ROUND(M22/L22,0)</f>
        <v>1</v>
      </c>
      <c r="O22" s="786">
        <f>SUM(O21)</f>
        <v>7.1999999999999993</v>
      </c>
      <c r="P22" s="772"/>
      <c r="Q22" s="799">
        <f>O22-P22</f>
        <v>7.1999999999999993</v>
      </c>
      <c r="R22" s="227"/>
      <c r="S22" s="318"/>
      <c r="T22" s="238"/>
      <c r="U22" s="239"/>
      <c r="V22" s="238"/>
      <c r="W22" s="238"/>
      <c r="X22" s="238"/>
      <c r="Y22" s="238"/>
      <c r="Z22" s="238"/>
      <c r="AA22" s="227"/>
      <c r="AB22" s="227"/>
      <c r="AC22" s="227"/>
    </row>
    <row r="23" spans="1:29" x14ac:dyDescent="0.25">
      <c r="B23" s="209"/>
      <c r="C23" s="209"/>
      <c r="D23" s="231"/>
      <c r="E23" s="231"/>
      <c r="F23" s="231"/>
      <c r="G23" s="231"/>
      <c r="H23" s="231"/>
      <c r="I23" s="231"/>
      <c r="J23" s="232"/>
      <c r="L23" s="231"/>
      <c r="M23" s="231">
        <f ca="1">L22-M22</f>
        <v>-0.43479999999999563</v>
      </c>
      <c r="O23" s="784"/>
      <c r="P23" s="795"/>
      <c r="Q23" s="798"/>
      <c r="R23" s="227"/>
      <c r="S23" s="318"/>
      <c r="T23" s="238"/>
      <c r="U23" s="238"/>
      <c r="V23" s="238"/>
      <c r="W23" s="238"/>
      <c r="X23" s="238"/>
      <c r="Y23" s="238"/>
      <c r="Z23" s="238"/>
      <c r="AA23" s="227"/>
      <c r="AB23" s="227"/>
      <c r="AC23" s="227"/>
    </row>
    <row r="24" spans="1:29" x14ac:dyDescent="0.25">
      <c r="A24" s="236" t="s">
        <v>102</v>
      </c>
      <c r="B24" s="204" t="s">
        <v>256</v>
      </c>
      <c r="D24" s="231">
        <f ca="1">'Summary SBR-Transport'!D16+'Summary SBR-Transport'!D17</f>
        <v>818632.44</v>
      </c>
      <c r="E24" s="231">
        <f ca="1">SUMIF('12-MO Forecast Summary'!$E$6:$E$18,'Revenue Summary B'!$A$24,'12-MO Forecast Summary'!$U$6:$U$18)+SUMIF('12-MO Forecast Summary'!$E$6:$E$18,'Revenue Summary B'!$A$25,'12-MO Forecast Summary'!$U$6:$U$18)</f>
        <v>504944.4958231686</v>
      </c>
      <c r="F24" s="232">
        <f ca="1">D24-E24</f>
        <v>313687.94417683134</v>
      </c>
      <c r="G24" s="231">
        <f ca="1">SUMIF('12-MO Forecast Summary'!$E$6:$E$18,'Revenue Summary B'!$A24,'12-MO Forecast Summary'!$V$6:$V$18)+SUMIF('12-MO Forecast Summary'!$E$6:$E$18,'Revenue Summary B'!$A$25,'12-MO Forecast Summary'!$V$6:$V$18)</f>
        <v>10394.581739040445</v>
      </c>
      <c r="H24" s="231"/>
      <c r="I24" s="231">
        <f ca="1">SUMIF('12-MO Forecast Summary'!$E$6:$E$18,'Revenue Summary B'!$A24,'12-MO Forecast Summary'!$W$6:$W$18)+SUMIF('12-MO Forecast Summary'!$E$6:$E$18,'Revenue Summary B'!$A$25,'12-MO Forecast Summary'!$W$6:$W$18)</f>
        <v>194074.40589668055</v>
      </c>
      <c r="J24" s="232">
        <f t="shared" ref="J24:J25" ca="1" si="3">F24-G24-H24-I24</f>
        <v>109218.95654111035</v>
      </c>
      <c r="L24" s="231">
        <f t="shared" ref="L24:L25" ca="1" si="4">J24</f>
        <v>109218.95654111035</v>
      </c>
      <c r="M24" s="231"/>
      <c r="O24" s="784">
        <f>+'Summary SBR-Transport'!C19</f>
        <v>384116.30106506648</v>
      </c>
      <c r="P24" s="795"/>
      <c r="Q24" s="798">
        <f>O24-P24</f>
        <v>384116.30106506648</v>
      </c>
      <c r="R24" s="227"/>
      <c r="S24" s="318"/>
      <c r="T24" s="238"/>
      <c r="U24" s="239"/>
      <c r="V24" s="238"/>
      <c r="W24" s="238"/>
      <c r="X24" s="238"/>
      <c r="Y24" s="238"/>
      <c r="Z24" s="238"/>
      <c r="AA24" s="227"/>
      <c r="AB24" s="227"/>
      <c r="AC24" s="227"/>
    </row>
    <row r="25" spans="1:29" x14ac:dyDescent="0.25">
      <c r="A25" s="236" t="s">
        <v>112</v>
      </c>
      <c r="B25" s="204" t="s">
        <v>448</v>
      </c>
      <c r="D25" s="231">
        <f ca="1">'Summary SBR-Transport'!D18</f>
        <v>258295.03</v>
      </c>
      <c r="E25" s="231">
        <f>SUMIF('12-MO Forecast Summary'!$E$6:$E$18,'Revenue Summary B'!$A26,'12-MO Forecast Summary'!$U$6:$U$18)</f>
        <v>0</v>
      </c>
      <c r="F25" s="232">
        <f ca="1">D25-E25</f>
        <v>258295.03</v>
      </c>
      <c r="G25" s="231">
        <f>SUMIF('12-MO Forecast Summary'!$E$6:$E$18,'Revenue Summary B'!$A$26,'12-MO Forecast Summary'!$V$6:$V$18)</f>
        <v>0</v>
      </c>
      <c r="H25" s="231"/>
      <c r="I25" s="231">
        <f>SUMIF('12-MO Forecast Summary'!$E$6:$E$18,'Revenue Summary B'!$A$26,'12-MO Forecast Summary'!$W$6:$W$18)</f>
        <v>56286.870434642828</v>
      </c>
      <c r="J25" s="232">
        <f t="shared" ca="1" si="3"/>
        <v>202008.15956535717</v>
      </c>
      <c r="L25" s="231">
        <f t="shared" ca="1" si="4"/>
        <v>202008.15956535717</v>
      </c>
      <c r="M25" s="231"/>
      <c r="O25" s="784"/>
      <c r="P25" s="795"/>
      <c r="Q25" s="798"/>
      <c r="R25" s="227"/>
      <c r="S25" s="318"/>
      <c r="T25" s="238"/>
      <c r="U25" s="239"/>
      <c r="V25" s="238"/>
      <c r="W25" s="238"/>
      <c r="X25" s="238"/>
      <c r="Y25" s="238"/>
      <c r="Z25" s="238"/>
      <c r="AA25" s="227"/>
      <c r="AB25" s="227"/>
      <c r="AC25" s="227"/>
    </row>
    <row r="26" spans="1:29" x14ac:dyDescent="0.25">
      <c r="A26" s="58" t="s">
        <v>479</v>
      </c>
      <c r="B26" s="209" t="s">
        <v>257</v>
      </c>
      <c r="C26" s="209"/>
      <c r="D26" s="761">
        <f ca="1">SUM(D24:D25)</f>
        <v>1076927.47</v>
      </c>
      <c r="E26" s="761">
        <f ca="1">SUM(E24:E25)</f>
        <v>504944.4958231686</v>
      </c>
      <c r="F26" s="761">
        <f ca="1">D26-E26</f>
        <v>571982.97417683131</v>
      </c>
      <c r="G26" s="761">
        <f ca="1">SUM(G24:G25)</f>
        <v>10394.581739040445</v>
      </c>
      <c r="H26" s="761"/>
      <c r="I26" s="761">
        <f ca="1">SUM(I24:I25)</f>
        <v>250361.27633132337</v>
      </c>
      <c r="J26" s="761">
        <f ca="1">F26-G26-H26-I26</f>
        <v>311227.1161064675</v>
      </c>
      <c r="L26" s="761">
        <f ca="1">J26</f>
        <v>311227.1161064675</v>
      </c>
      <c r="M26" s="761">
        <f ca="1">'Sch M-2.3 Pg. 2-9'!J164+'Sch M-2.3 Pg. 2-9'!J177</f>
        <v>311227.11541650502</v>
      </c>
      <c r="N26" s="789">
        <f ca="1">ROUND(M26/L26,0)</f>
        <v>1</v>
      </c>
      <c r="O26" s="786">
        <f>+O24</f>
        <v>384116.30106506648</v>
      </c>
      <c r="P26" s="772"/>
      <c r="Q26" s="799">
        <f>O26-P26</f>
        <v>384116.30106506648</v>
      </c>
      <c r="R26" s="227"/>
      <c r="S26" s="318"/>
      <c r="T26" s="238"/>
      <c r="U26" s="318"/>
      <c r="V26" s="238"/>
      <c r="W26" s="238"/>
      <c r="X26" s="238"/>
      <c r="Y26" s="238"/>
      <c r="Z26" s="238"/>
      <c r="AA26" s="227"/>
      <c r="AB26" s="227"/>
      <c r="AC26" s="227"/>
    </row>
    <row r="27" spans="1:29" x14ac:dyDescent="0.25">
      <c r="B27" s="209"/>
      <c r="C27" s="209"/>
      <c r="D27" s="231"/>
      <c r="E27" s="231"/>
      <c r="F27" s="231"/>
      <c r="G27" s="231"/>
      <c r="H27" s="231"/>
      <c r="I27" s="231"/>
      <c r="J27" s="763"/>
      <c r="K27" s="237"/>
      <c r="L27" s="231"/>
      <c r="M27" s="231">
        <f ca="1">L26-M26</f>
        <v>6.8996247136965394E-4</v>
      </c>
      <c r="O27" s="784"/>
      <c r="P27" s="795"/>
      <c r="Q27" s="798"/>
      <c r="R27" s="227"/>
      <c r="S27" s="318"/>
      <c r="T27" s="238"/>
      <c r="U27" s="238"/>
      <c r="V27" s="238"/>
      <c r="W27" s="238"/>
      <c r="X27" s="238"/>
      <c r="Y27" s="238"/>
      <c r="Z27" s="238"/>
      <c r="AA27" s="227"/>
      <c r="AB27" s="227"/>
      <c r="AC27" s="227"/>
    </row>
    <row r="28" spans="1:29" x14ac:dyDescent="0.25">
      <c r="A28" s="58" t="s">
        <v>108</v>
      </c>
      <c r="B28" s="204" t="s">
        <v>258</v>
      </c>
      <c r="D28" s="231">
        <f ca="1">'Summary SBR-Transport'!D23</f>
        <v>7709355.0799999991</v>
      </c>
      <c r="E28" s="231">
        <f>SUMIF('12-MO Forecast Summary'!$E$6:$E$18,'Revenue Summary B'!$A$28,'12-MO Forecast Summary'!$U$6:$U$18)</f>
        <v>0</v>
      </c>
      <c r="F28" s="232">
        <f ca="1">D28-E28</f>
        <v>7709355.0799999991</v>
      </c>
      <c r="G28" s="231">
        <f>SUMIF('12-MO Forecast Summary'!$E$6:$E$18,'Revenue Summary B'!$A28,'12-MO Forecast Summary'!$V$6:$V$18)+SUMIF('12-MO Forecast Summary'!$E$6:$E$18,'Revenue Summary B'!$A$29,'12-MO Forecast Summary'!$V$6:$V$18)</f>
        <v>1930120.2622383344</v>
      </c>
      <c r="H28" s="231"/>
      <c r="I28" s="231">
        <f>SUMIF('12-MO Forecast Summary'!$E$6:$E$18,'Revenue Summary B'!$A28,'12-MO Forecast Summary'!$W$6:$W$18)+SUMIF('12-MO Forecast Summary'!$E$6:$E$18,'Revenue Summary B'!$A$29,'12-MO Forecast Summary'!$W$6:$W$18)</f>
        <v>0</v>
      </c>
      <c r="J28" s="232">
        <f ca="1">F28-G28-H28</f>
        <v>5779234.8177616652</v>
      </c>
      <c r="L28" s="231">
        <f ca="1">J28</f>
        <v>5779234.8177616652</v>
      </c>
      <c r="M28" s="232">
        <f>'Sch M-2.3 Pg. 2-9'!J213</f>
        <v>5779234.8314865362</v>
      </c>
      <c r="N28" s="790"/>
      <c r="O28" s="784">
        <f>'Summary SBR-Transport'!C23</f>
        <v>12313888.497179303</v>
      </c>
      <c r="P28" s="769"/>
      <c r="Q28" s="798">
        <f>O28-P28</f>
        <v>12313888.497179303</v>
      </c>
      <c r="R28" s="227"/>
      <c r="S28" s="318"/>
      <c r="T28" s="238"/>
      <c r="U28" s="239"/>
      <c r="V28" s="238"/>
      <c r="W28" s="238"/>
      <c r="X28" s="238"/>
      <c r="Y28" s="238"/>
      <c r="Z28" s="238"/>
      <c r="AA28" s="227"/>
      <c r="AB28" s="227"/>
      <c r="AC28" s="227"/>
    </row>
    <row r="29" spans="1:29" x14ac:dyDescent="0.25">
      <c r="A29" s="58" t="s">
        <v>117</v>
      </c>
      <c r="B29" s="204" t="s">
        <v>564</v>
      </c>
      <c r="C29" s="209"/>
      <c r="D29" s="232">
        <f>+'Summary SBR-Transport'!D34</f>
        <v>62100</v>
      </c>
      <c r="E29" s="231">
        <v>0</v>
      </c>
      <c r="F29" s="232">
        <f>D29-E29</f>
        <v>62100</v>
      </c>
      <c r="G29" s="232"/>
      <c r="H29" s="232"/>
      <c r="I29" s="232"/>
      <c r="J29" s="232">
        <f>ROUND(F29-G29-H29,0)</f>
        <v>62100</v>
      </c>
      <c r="L29" s="232">
        <f>J29</f>
        <v>62100</v>
      </c>
      <c r="M29" s="232">
        <f>'Sch M-2.3 Pg. 2-9'!J228</f>
        <v>62100</v>
      </c>
      <c r="N29" s="790"/>
      <c r="O29" s="788"/>
      <c r="P29" s="771"/>
      <c r="Q29" s="768"/>
      <c r="R29" s="227"/>
      <c r="S29" s="318"/>
      <c r="T29" s="238"/>
      <c r="U29" s="239"/>
      <c r="V29" s="238"/>
      <c r="W29" s="238"/>
      <c r="X29" s="238"/>
      <c r="Y29" s="238"/>
      <c r="Z29" s="238"/>
      <c r="AA29" s="227"/>
      <c r="AB29" s="227"/>
      <c r="AC29" s="227"/>
    </row>
    <row r="30" spans="1:29" x14ac:dyDescent="0.25">
      <c r="B30" s="209" t="s">
        <v>259</v>
      </c>
      <c r="C30" s="209"/>
      <c r="D30" s="761">
        <f ca="1">SUM(D28:D29)</f>
        <v>7771455.0799999991</v>
      </c>
      <c r="E30" s="761"/>
      <c r="F30" s="761">
        <f ca="1">SUM(F28:F29)</f>
        <v>7771455.0799999991</v>
      </c>
      <c r="G30" s="761">
        <f>SUM(G28:G29)</f>
        <v>1930120.2622383344</v>
      </c>
      <c r="H30" s="761"/>
      <c r="I30" s="761">
        <f>SUM(I28:I29)</f>
        <v>0</v>
      </c>
      <c r="J30" s="761">
        <f ca="1">SUM(J28:J29)</f>
        <v>5841334.8177616652</v>
      </c>
      <c r="L30" s="761">
        <f ca="1">J30</f>
        <v>5841334.8177616652</v>
      </c>
      <c r="M30" s="761">
        <f>SUM(M28:M29)</f>
        <v>5841334.8314865362</v>
      </c>
      <c r="N30" s="789">
        <f ca="1">M30/L30</f>
        <v>1.0000000023496121</v>
      </c>
      <c r="O30" s="786">
        <f>SUM(O28:O29)</f>
        <v>12313888.497179303</v>
      </c>
      <c r="P30" s="770"/>
      <c r="Q30" s="799">
        <f>SUM(Q28:Q29)</f>
        <v>12313888.497179303</v>
      </c>
      <c r="R30" s="227"/>
      <c r="S30" s="318"/>
      <c r="T30" s="238"/>
      <c r="U30" s="239"/>
      <c r="V30" s="238"/>
      <c r="W30" s="238"/>
      <c r="X30" s="238"/>
      <c r="Y30" s="238"/>
      <c r="Z30" s="238"/>
      <c r="AA30" s="227"/>
      <c r="AB30" s="227"/>
      <c r="AC30" s="227"/>
    </row>
    <row r="31" spans="1:29" x14ac:dyDescent="0.25">
      <c r="B31" s="209"/>
      <c r="C31" s="209"/>
      <c r="D31" s="232"/>
      <c r="E31" s="232"/>
      <c r="F31" s="232"/>
      <c r="G31" s="232"/>
      <c r="H31" s="232"/>
      <c r="I31" s="232"/>
      <c r="J31" s="232"/>
      <c r="L31" s="232"/>
      <c r="M31" s="232"/>
      <c r="N31" s="790"/>
      <c r="O31" s="788"/>
      <c r="P31" s="771"/>
      <c r="Q31" s="768"/>
      <c r="R31" s="227"/>
      <c r="S31" s="318"/>
      <c r="T31" s="238"/>
      <c r="U31" s="239"/>
      <c r="V31" s="238"/>
      <c r="W31" s="238"/>
      <c r="X31" s="238"/>
      <c r="Y31" s="238"/>
      <c r="Z31" s="238"/>
      <c r="AA31" s="227"/>
      <c r="AB31" s="227"/>
      <c r="AC31" s="227"/>
    </row>
    <row r="32" spans="1:29" x14ac:dyDescent="0.25">
      <c r="A32" s="58" t="s">
        <v>124</v>
      </c>
      <c r="B32" s="204" t="s">
        <v>260</v>
      </c>
      <c r="D32" s="232">
        <f ca="1">'Summary SBR-Transport'!D28</f>
        <v>2922300.5600000005</v>
      </c>
      <c r="E32" s="231">
        <f>SUMIF('12-MO Forecast Summary'!$E$6:$E$18,'Revenue Summary B'!$A$32,'12-MO Forecast Summary'!$U$6:$U$18)</f>
        <v>630517.45178326871</v>
      </c>
      <c r="F32" s="232">
        <f ca="1">D32-E32</f>
        <v>2291783.1082167318</v>
      </c>
      <c r="G32" s="231">
        <f>SUMIF('12-MO Forecast Summary'!$E$6:$E$18,'Revenue Summary B'!$A32,'12-MO Forecast Summary'!$V$6:$V$18)</f>
        <v>0</v>
      </c>
      <c r="H32" s="232"/>
      <c r="I32" s="231">
        <f>SUMIF('12-MO Forecast Summary'!$E$6:$E$18,'Revenue Summary B'!$A32,'12-MO Forecast Summary'!$W$6:$W$18)</f>
        <v>0</v>
      </c>
      <c r="J32" s="232">
        <f ca="1">F32-G32-H32-I32</f>
        <v>2291783.1082167318</v>
      </c>
      <c r="L32" s="231">
        <f ca="1">J32</f>
        <v>2291783.1082167318</v>
      </c>
      <c r="M32" s="232">
        <f>'Sch M-2.3 Pg. 2-9'!J256</f>
        <v>2291783.1034200001</v>
      </c>
      <c r="N32" s="790">
        <f ca="1">M32/L32</f>
        <v>0.99999999790698701</v>
      </c>
      <c r="O32" s="784">
        <f>+'Summary SBR-Transport'!C26</f>
        <v>154579.79999999999</v>
      </c>
      <c r="P32" s="769"/>
      <c r="Q32" s="798">
        <f>O32-P32</f>
        <v>154579.79999999999</v>
      </c>
      <c r="R32" s="227"/>
      <c r="S32" s="318"/>
      <c r="T32" s="238"/>
      <c r="U32" s="239"/>
      <c r="V32" s="238"/>
      <c r="W32" s="238"/>
      <c r="X32" s="238"/>
      <c r="Y32" s="238"/>
      <c r="Z32" s="238"/>
      <c r="AA32" s="227"/>
      <c r="AB32" s="227"/>
      <c r="AC32" s="227"/>
    </row>
    <row r="33" spans="1:29" x14ac:dyDescent="0.25">
      <c r="B33" s="209" t="s">
        <v>261</v>
      </c>
      <c r="C33" s="209"/>
      <c r="D33" s="761">
        <f ca="1">SUM(D32:D32)</f>
        <v>2922300.5600000005</v>
      </c>
      <c r="E33" s="761">
        <f>SUM(E32:E32)</f>
        <v>630517.45178326871</v>
      </c>
      <c r="F33" s="761">
        <f ca="1">D33-E33</f>
        <v>2291783.1082167318</v>
      </c>
      <c r="G33" s="761">
        <f>G32</f>
        <v>0</v>
      </c>
      <c r="H33" s="761"/>
      <c r="I33" s="761">
        <f>SUM(I32:I32)</f>
        <v>0</v>
      </c>
      <c r="J33" s="761">
        <f ca="1">SUM(J32:J32)</f>
        <v>2291783.1082167318</v>
      </c>
      <c r="L33" s="761">
        <f ca="1">J33</f>
        <v>2291783.1082167318</v>
      </c>
      <c r="M33" s="761">
        <f>SUM(M32:M32)</f>
        <v>2291783.1034200001</v>
      </c>
      <c r="N33" s="789">
        <f ca="1">M33/L33</f>
        <v>0.99999999790698701</v>
      </c>
      <c r="O33" s="786">
        <f>SUM(O32:O32)</f>
        <v>154579.79999999999</v>
      </c>
      <c r="P33" s="770"/>
      <c r="Q33" s="799">
        <f>O33-P33</f>
        <v>154579.79999999999</v>
      </c>
      <c r="R33" s="227"/>
      <c r="S33" s="318"/>
      <c r="T33" s="238"/>
      <c r="U33" s="318"/>
      <c r="V33" s="238"/>
      <c r="W33" s="238"/>
      <c r="X33" s="238"/>
      <c r="Y33" s="238"/>
      <c r="Z33" s="238"/>
      <c r="AA33" s="227"/>
      <c r="AB33" s="227"/>
      <c r="AC33" s="227"/>
    </row>
    <row r="34" spans="1:29" x14ac:dyDescent="0.25">
      <c r="D34" s="232"/>
      <c r="E34" s="231"/>
      <c r="F34" s="232"/>
      <c r="G34" s="231"/>
      <c r="H34" s="231"/>
      <c r="I34" s="231"/>
      <c r="J34" s="232"/>
      <c r="L34" s="231"/>
      <c r="M34" s="231"/>
      <c r="O34" s="784"/>
      <c r="P34" s="769"/>
      <c r="Q34" s="798"/>
      <c r="R34" s="238"/>
      <c r="S34" s="318"/>
      <c r="T34" s="238"/>
      <c r="U34" s="238"/>
      <c r="V34" s="238"/>
      <c r="W34" s="238"/>
      <c r="X34" s="238"/>
      <c r="Y34" s="238"/>
      <c r="Z34" s="238"/>
      <c r="AA34" s="227"/>
      <c r="AB34" s="227"/>
      <c r="AC34" s="227"/>
    </row>
    <row r="35" spans="1:29" x14ac:dyDescent="0.25">
      <c r="A35" s="58" t="s">
        <v>719</v>
      </c>
      <c r="B35" s="204" t="s">
        <v>718</v>
      </c>
      <c r="D35" s="762">
        <v>19209.28</v>
      </c>
      <c r="E35" s="762">
        <v>10099.84</v>
      </c>
      <c r="F35" s="762">
        <f>D35-E35</f>
        <v>9109.4399999999987</v>
      </c>
      <c r="G35" s="762">
        <v>16.079999999999998</v>
      </c>
      <c r="H35" s="762"/>
      <c r="I35" s="762">
        <v>546.24</v>
      </c>
      <c r="J35" s="762">
        <f>F35-G35-H35-I35</f>
        <v>8547.119999999999</v>
      </c>
      <c r="L35" s="231">
        <f>J35</f>
        <v>8547.119999999999</v>
      </c>
      <c r="M35" s="762">
        <f>'Sch M-2.3 Pg. 2-9'!J323</f>
        <v>8547.1180800000002</v>
      </c>
      <c r="N35" s="790">
        <f>M35/L35</f>
        <v>0.99999977536292939</v>
      </c>
      <c r="O35" s="784"/>
      <c r="P35" s="769"/>
      <c r="Q35" s="798"/>
      <c r="R35" s="238"/>
      <c r="S35" s="318"/>
      <c r="T35" s="238"/>
      <c r="U35" s="238"/>
      <c r="V35" s="238"/>
      <c r="W35" s="238"/>
      <c r="X35" s="238"/>
      <c r="Y35" s="238"/>
      <c r="Z35" s="238"/>
      <c r="AA35" s="227"/>
      <c r="AB35" s="227"/>
      <c r="AC35" s="227"/>
    </row>
    <row r="36" spans="1:29" x14ac:dyDescent="0.25">
      <c r="B36" s="209" t="s">
        <v>720</v>
      </c>
      <c r="D36" s="761">
        <f>SUM(D35)</f>
        <v>19209.28</v>
      </c>
      <c r="E36" s="761">
        <f>SUM(E35)</f>
        <v>10099.84</v>
      </c>
      <c r="F36" s="761">
        <f>D36-E36</f>
        <v>9109.4399999999987</v>
      </c>
      <c r="G36" s="761">
        <f>SUM(G35)</f>
        <v>16.079999999999998</v>
      </c>
      <c r="H36" s="761"/>
      <c r="I36" s="761">
        <f>SUM(I35)</f>
        <v>546.24</v>
      </c>
      <c r="J36" s="761">
        <f>SUM(J35:J35)</f>
        <v>8547.119999999999</v>
      </c>
      <c r="L36" s="761">
        <f>J36</f>
        <v>8547.119999999999</v>
      </c>
      <c r="M36" s="761">
        <f>SUM(M35:M35)</f>
        <v>8547.1180800000002</v>
      </c>
      <c r="N36" s="789">
        <f>M36/L36</f>
        <v>0.99999977536292939</v>
      </c>
      <c r="O36" s="784"/>
      <c r="P36" s="769"/>
      <c r="Q36" s="798"/>
      <c r="R36" s="238"/>
      <c r="S36" s="318"/>
      <c r="T36" s="238"/>
      <c r="U36" s="238"/>
      <c r="V36" s="238"/>
      <c r="W36" s="238"/>
      <c r="X36" s="238"/>
      <c r="Y36" s="238"/>
      <c r="Z36" s="238"/>
      <c r="AA36" s="227"/>
      <c r="AB36" s="227"/>
      <c r="AC36" s="227"/>
    </row>
    <row r="37" spans="1:29" x14ac:dyDescent="0.25">
      <c r="B37" s="209"/>
      <c r="C37" s="209"/>
      <c r="D37" s="231"/>
      <c r="E37" s="231"/>
      <c r="F37" s="231"/>
      <c r="G37" s="231"/>
      <c r="H37" s="231"/>
      <c r="I37" s="231"/>
      <c r="J37" s="763"/>
      <c r="K37" s="237"/>
      <c r="L37" s="231"/>
      <c r="M37" s="231"/>
      <c r="O37" s="784"/>
      <c r="P37" s="769"/>
      <c r="Q37" s="798"/>
      <c r="R37" s="227"/>
      <c r="S37" s="318"/>
      <c r="T37" s="238"/>
      <c r="U37" s="238"/>
      <c r="V37" s="238"/>
      <c r="W37" s="238"/>
      <c r="X37" s="238"/>
      <c r="Y37" s="238"/>
      <c r="Z37" s="238"/>
      <c r="AA37" s="227"/>
      <c r="AB37" s="227"/>
      <c r="AC37" s="227"/>
    </row>
    <row r="38" spans="1:29" x14ac:dyDescent="0.25">
      <c r="B38" s="204" t="s">
        <v>262</v>
      </c>
      <c r="D38" s="761">
        <f ca="1">D10+D14+D19+D26+D30+D33+D22+D35</f>
        <v>327901507.17000002</v>
      </c>
      <c r="E38" s="761">
        <f ca="1">E10+E14+E19+E26+E30+E33+E22+E35</f>
        <v>135901397.84777892</v>
      </c>
      <c r="F38" s="761">
        <f ca="1">F10+F14+F19+F26+F30+F33+F22+F36</f>
        <v>192000109.32222113</v>
      </c>
      <c r="G38" s="761">
        <f ca="1">G10+G14+G19+G26+G30+G33+G22+G35</f>
        <v>5131907.7389026266</v>
      </c>
      <c r="H38" s="761"/>
      <c r="I38" s="761">
        <f ca="1">I10+I14+I19+I26+I29+I33+I22+I35</f>
        <v>34434961.572972059</v>
      </c>
      <c r="J38" s="761">
        <f ca="1">J10+J14+J19+J26+J30+J33+J22+J36</f>
        <v>152433239.62309167</v>
      </c>
      <c r="L38" s="761">
        <f ca="1">J38</f>
        <v>152433239.62309167</v>
      </c>
      <c r="M38" s="761">
        <f ca="1">M10+M14+M19+M26+M30+M33+M22+M36</f>
        <v>152433239.90024346</v>
      </c>
      <c r="N38" s="789">
        <f ca="1">M38/L38</f>
        <v>1.0000000018181847</v>
      </c>
      <c r="O38" s="791">
        <f>O10+O14+O19+O26+O30+O33+O22</f>
        <v>44455552.946566723</v>
      </c>
      <c r="P38" s="796"/>
      <c r="Q38" s="799">
        <f>Q10+Q14+Q19+Q26+Q33+Q30</f>
        <v>44455545.746566728</v>
      </c>
      <c r="R38" s="227"/>
      <c r="S38" s="233"/>
      <c r="T38" s="238"/>
      <c r="U38" s="318"/>
      <c r="V38" s="238"/>
      <c r="W38" s="238"/>
      <c r="X38" s="238"/>
      <c r="Y38" s="238"/>
      <c r="Z38" s="238"/>
      <c r="AA38" s="227"/>
      <c r="AB38" s="227"/>
      <c r="AC38" s="227"/>
    </row>
    <row r="39" spans="1:29" x14ac:dyDescent="0.25">
      <c r="D39" s="231"/>
      <c r="E39" s="231"/>
      <c r="F39" s="231"/>
      <c r="G39" s="231"/>
      <c r="H39" s="231"/>
      <c r="I39" s="231"/>
      <c r="J39" s="763"/>
      <c r="K39" s="237"/>
      <c r="L39" s="231"/>
      <c r="M39" s="231"/>
      <c r="O39" s="784"/>
      <c r="P39" s="769"/>
      <c r="Q39" s="798"/>
      <c r="R39" s="227"/>
      <c r="S39" s="318"/>
      <c r="T39" s="238"/>
      <c r="U39" s="238"/>
      <c r="V39" s="238"/>
      <c r="W39" s="238"/>
      <c r="X39" s="238"/>
      <c r="Y39" s="238"/>
      <c r="Z39" s="238"/>
      <c r="AA39" s="227"/>
      <c r="AB39" s="227"/>
      <c r="AC39" s="227"/>
    </row>
    <row r="40" spans="1:29" x14ac:dyDescent="0.25">
      <c r="B40" s="204" t="s">
        <v>263</v>
      </c>
      <c r="D40" s="761">
        <f ca="1">D38</f>
        <v>327901507.17000002</v>
      </c>
      <c r="E40" s="761">
        <f t="shared" ref="E40:J40" ca="1" si="5">E38</f>
        <v>135901397.84777892</v>
      </c>
      <c r="F40" s="761">
        <f t="shared" ca="1" si="5"/>
        <v>192000109.32222113</v>
      </c>
      <c r="G40" s="761">
        <f t="shared" ca="1" si="5"/>
        <v>5131907.7389026266</v>
      </c>
      <c r="H40" s="761"/>
      <c r="I40" s="761">
        <f t="shared" ca="1" si="5"/>
        <v>34434961.572972059</v>
      </c>
      <c r="J40" s="761">
        <f t="shared" ca="1" si="5"/>
        <v>152433239.62309167</v>
      </c>
      <c r="L40" s="761">
        <f ca="1">J40</f>
        <v>152433239.62309167</v>
      </c>
      <c r="M40" s="761">
        <f ca="1">M38</f>
        <v>152433239.90024346</v>
      </c>
      <c r="N40" s="791"/>
      <c r="O40" s="792">
        <f>+O38</f>
        <v>44455552.946566723</v>
      </c>
      <c r="P40" s="796"/>
      <c r="Q40" s="799">
        <f>Q38</f>
        <v>44455545.746566728</v>
      </c>
      <c r="R40" s="227"/>
      <c r="S40" s="319"/>
      <c r="T40" s="238"/>
      <c r="U40" s="239"/>
      <c r="V40" s="238"/>
      <c r="W40" s="238"/>
      <c r="X40" s="238"/>
      <c r="Y40" s="238"/>
      <c r="Z40" s="238"/>
      <c r="AA40" s="227"/>
      <c r="AB40" s="227"/>
      <c r="AC40" s="227"/>
    </row>
    <row r="41" spans="1:29" x14ac:dyDescent="0.25">
      <c r="D41" s="231"/>
      <c r="E41" s="231"/>
      <c r="F41" s="231"/>
      <c r="G41" s="231"/>
      <c r="H41" s="231"/>
      <c r="I41" s="231"/>
      <c r="J41" s="231"/>
      <c r="L41" s="231"/>
      <c r="M41" s="231"/>
      <c r="O41" s="788"/>
      <c r="P41" s="378"/>
      <c r="Q41" s="768"/>
      <c r="R41" s="227"/>
      <c r="S41" s="238"/>
      <c r="T41" s="238"/>
      <c r="U41" s="238"/>
      <c r="V41" s="238"/>
      <c r="W41" s="238"/>
      <c r="X41" s="238"/>
      <c r="Y41" s="238"/>
      <c r="Z41" s="238"/>
      <c r="AA41" s="227"/>
      <c r="AB41" s="227"/>
      <c r="AC41" s="227"/>
    </row>
    <row r="42" spans="1:29" x14ac:dyDescent="0.25">
      <c r="B42" s="211"/>
      <c r="C42" s="211"/>
      <c r="D42" s="279"/>
      <c r="E42" s="279"/>
      <c r="F42" s="279"/>
      <c r="G42" s="279"/>
      <c r="H42" s="279"/>
      <c r="I42" s="279"/>
      <c r="J42" s="279"/>
      <c r="K42" s="237"/>
      <c r="L42" s="231"/>
      <c r="M42" s="231"/>
      <c r="O42" s="793"/>
      <c r="P42" s="797"/>
      <c r="Q42" s="797"/>
      <c r="R42" s="227"/>
      <c r="S42" s="238"/>
      <c r="T42" s="238"/>
      <c r="U42" s="238"/>
      <c r="V42" s="238"/>
      <c r="W42" s="238"/>
      <c r="X42" s="238"/>
      <c r="Y42" s="238"/>
      <c r="Z42" s="238"/>
      <c r="AA42" s="227"/>
      <c r="AB42" s="227"/>
      <c r="AC42" s="227"/>
    </row>
    <row r="43" spans="1:29" x14ac:dyDescent="0.25">
      <c r="D43" s="240"/>
      <c r="E43" s="240"/>
      <c r="F43" s="240"/>
      <c r="G43" s="240"/>
      <c r="H43" s="240"/>
      <c r="I43" s="240"/>
      <c r="J43" s="240"/>
      <c r="M43" s="241"/>
      <c r="O43" s="793"/>
      <c r="P43" s="773"/>
      <c r="Q43" s="773"/>
      <c r="R43" s="227"/>
      <c r="Z43" s="227"/>
      <c r="AA43" s="227"/>
      <c r="AB43" s="227"/>
      <c r="AC43" s="227"/>
    </row>
    <row r="44" spans="1:29" x14ac:dyDescent="0.25">
      <c r="A44" s="57"/>
      <c r="B44" s="57"/>
      <c r="C44" s="57"/>
      <c r="D44" s="57"/>
      <c r="F44" s="57"/>
      <c r="G44" s="57"/>
      <c r="H44" s="57"/>
      <c r="I44" s="57"/>
      <c r="J44" s="57"/>
      <c r="K44" s="57"/>
      <c r="L44" s="57"/>
      <c r="M44" s="57"/>
      <c r="N44" s="814"/>
      <c r="O44" s="814"/>
      <c r="P44" s="815"/>
      <c r="Q44" s="815"/>
      <c r="R44" s="57"/>
      <c r="S44" s="57"/>
      <c r="Z44" s="227"/>
      <c r="AA44" s="227"/>
      <c r="AB44" s="227"/>
      <c r="AC44" s="227"/>
    </row>
    <row r="45" spans="1:29" x14ac:dyDescent="0.25">
      <c r="A45" s="57"/>
      <c r="B45" s="57"/>
      <c r="D45" s="240"/>
      <c r="E45" s="240"/>
      <c r="F45" s="57"/>
      <c r="G45" s="240"/>
      <c r="H45" s="57"/>
      <c r="I45" s="240"/>
      <c r="J45" s="57"/>
      <c r="K45" s="57"/>
      <c r="L45" s="57"/>
      <c r="M45" s="57"/>
      <c r="N45" s="814"/>
      <c r="O45" s="814"/>
      <c r="P45" s="815"/>
      <c r="Q45" s="815"/>
      <c r="R45" s="57"/>
      <c r="S45" s="57"/>
      <c r="Z45" s="227"/>
      <c r="AA45" s="227"/>
      <c r="AB45" s="227"/>
      <c r="AC45" s="227"/>
    </row>
    <row r="46" spans="1:29" ht="15" x14ac:dyDescent="0.25">
      <c r="A46" s="57"/>
      <c r="B46" s="57"/>
      <c r="C46" s="57"/>
      <c r="D46" s="83"/>
      <c r="E46" s="83"/>
      <c r="F46" s="57"/>
      <c r="G46" s="83"/>
      <c r="H46" s="57"/>
      <c r="I46" s="83"/>
      <c r="J46" s="57"/>
      <c r="K46" s="57"/>
      <c r="L46" s="57"/>
      <c r="M46" s="57"/>
      <c r="N46" s="814"/>
      <c r="O46" s="814"/>
      <c r="P46" s="815"/>
      <c r="Q46" s="815"/>
      <c r="R46" s="57"/>
      <c r="S46" s="57"/>
      <c r="Z46" s="227"/>
      <c r="AA46" s="227"/>
      <c r="AB46" s="227"/>
      <c r="AC46" s="227"/>
    </row>
    <row r="47" spans="1:29" ht="15" x14ac:dyDescent="0.25">
      <c r="A47" s="57"/>
      <c r="B47" s="57"/>
      <c r="C47" s="57"/>
      <c r="D47" s="57"/>
      <c r="E47" s="815"/>
      <c r="F47" s="57"/>
      <c r="G47" s="815"/>
      <c r="H47" s="57"/>
      <c r="I47" s="815"/>
      <c r="J47" s="57"/>
      <c r="K47" s="57"/>
      <c r="L47" s="57"/>
      <c r="M47" s="57"/>
      <c r="N47" s="814"/>
      <c r="O47" s="814"/>
      <c r="P47" s="815"/>
      <c r="Q47" s="815"/>
      <c r="R47" s="57"/>
      <c r="S47" s="57"/>
      <c r="Z47" s="227"/>
      <c r="AA47" s="227"/>
      <c r="AB47" s="227"/>
      <c r="AC47" s="227"/>
    </row>
    <row r="48" spans="1:29" ht="15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814"/>
      <c r="O48" s="814"/>
      <c r="P48" s="815"/>
      <c r="Q48" s="815"/>
      <c r="R48" s="57"/>
      <c r="S48" s="57"/>
      <c r="Z48" s="227"/>
      <c r="AA48" s="227"/>
      <c r="AB48" s="227"/>
      <c r="AC48" s="227"/>
    </row>
    <row r="49" spans="1:29" ht="15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814"/>
      <c r="O49" s="814"/>
      <c r="P49" s="815"/>
      <c r="Q49" s="815"/>
      <c r="R49" s="57"/>
      <c r="S49" s="57"/>
      <c r="Z49" s="227"/>
      <c r="AA49" s="227"/>
      <c r="AB49" s="227"/>
      <c r="AC49" s="227"/>
    </row>
    <row r="50" spans="1:29" ht="15" x14ac:dyDescent="0.2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814"/>
      <c r="O50" s="814"/>
      <c r="P50" s="815"/>
      <c r="Q50" s="815"/>
      <c r="R50" s="57"/>
      <c r="S50" s="57"/>
      <c r="Z50" s="227"/>
      <c r="AA50" s="227"/>
      <c r="AB50" s="227"/>
      <c r="AC50" s="227"/>
    </row>
    <row r="51" spans="1:29" ht="15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814"/>
      <c r="O51" s="814"/>
      <c r="P51" s="815"/>
      <c r="Q51" s="815"/>
      <c r="R51" s="57"/>
      <c r="S51" s="57"/>
      <c r="Z51" s="227"/>
      <c r="AA51" s="227"/>
      <c r="AB51" s="227"/>
      <c r="AC51" s="227"/>
    </row>
    <row r="52" spans="1:29" ht="15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814"/>
      <c r="O52" s="814"/>
      <c r="P52" s="815"/>
      <c r="Q52" s="815"/>
      <c r="R52" s="57"/>
      <c r="S52" s="57"/>
      <c r="Z52" s="227"/>
      <c r="AA52" s="227"/>
      <c r="AB52" s="227"/>
      <c r="AC52" s="227"/>
    </row>
    <row r="53" spans="1:29" ht="15" x14ac:dyDescent="0.2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814"/>
      <c r="O53" s="814"/>
      <c r="P53" s="815"/>
      <c r="Q53" s="815"/>
      <c r="R53" s="57"/>
      <c r="S53" s="57"/>
      <c r="T53" s="238"/>
      <c r="U53" s="238"/>
      <c r="V53" s="238"/>
      <c r="W53" s="238"/>
      <c r="X53" s="238"/>
      <c r="Y53" s="238"/>
      <c r="Z53" s="238"/>
      <c r="AA53" s="238"/>
      <c r="AB53" s="238"/>
      <c r="AC53" s="238"/>
    </row>
    <row r="54" spans="1:29" ht="15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814"/>
      <c r="O54" s="814"/>
      <c r="P54" s="815"/>
      <c r="Q54" s="815"/>
      <c r="R54" s="57"/>
      <c r="S54" s="57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</row>
    <row r="55" spans="1:29" ht="15" x14ac:dyDescent="0.2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814"/>
      <c r="O55" s="814"/>
      <c r="P55" s="815"/>
      <c r="Q55" s="815"/>
      <c r="R55" s="57"/>
      <c r="S55" s="57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</row>
    <row r="56" spans="1:29" ht="15" x14ac:dyDescent="0.2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814"/>
      <c r="O56" s="814"/>
      <c r="P56" s="815"/>
      <c r="Q56" s="815"/>
      <c r="R56" s="57"/>
      <c r="S56" s="57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</row>
    <row r="57" spans="1:29" ht="15" x14ac:dyDescent="0.2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814"/>
      <c r="O57" s="814"/>
      <c r="P57" s="815"/>
      <c r="Q57" s="815"/>
      <c r="R57" s="57"/>
      <c r="S57" s="57"/>
      <c r="T57" s="238"/>
      <c r="U57" s="238"/>
      <c r="V57" s="238"/>
      <c r="W57" s="238"/>
      <c r="X57" s="238"/>
      <c r="Y57" s="238"/>
      <c r="Z57" s="238"/>
      <c r="AA57" s="238"/>
      <c r="AB57" s="238"/>
      <c r="AC57" s="238"/>
    </row>
    <row r="58" spans="1:29" ht="15" x14ac:dyDescent="0.2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814"/>
      <c r="O58" s="814"/>
      <c r="P58" s="815"/>
      <c r="Q58" s="815"/>
      <c r="R58" s="57"/>
      <c r="S58" s="57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</row>
    <row r="59" spans="1:29" ht="15" x14ac:dyDescent="0.2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814"/>
      <c r="O59" s="814"/>
      <c r="P59" s="815"/>
      <c r="Q59" s="815"/>
      <c r="R59" s="57"/>
      <c r="S59" s="57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</row>
    <row r="60" spans="1:29" ht="15" x14ac:dyDescent="0.2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814"/>
      <c r="O60" s="814"/>
      <c r="P60" s="815"/>
      <c r="Q60" s="815"/>
      <c r="R60" s="57"/>
      <c r="S60" s="57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</row>
    <row r="61" spans="1:29" ht="15" x14ac:dyDescent="0.2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814"/>
      <c r="O61" s="814"/>
      <c r="P61" s="815"/>
      <c r="Q61" s="815"/>
      <c r="R61" s="57"/>
      <c r="S61" s="57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</row>
    <row r="62" spans="1:29" ht="15" x14ac:dyDescent="0.2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814"/>
      <c r="O62" s="814"/>
      <c r="P62" s="815"/>
      <c r="Q62" s="815"/>
      <c r="R62" s="57"/>
      <c r="S62" s="57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</row>
    <row r="63" spans="1:29" ht="15" x14ac:dyDescent="0.2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814"/>
      <c r="O63" s="814"/>
      <c r="P63" s="815"/>
      <c r="Q63" s="815"/>
      <c r="R63" s="57"/>
      <c r="S63" s="57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</row>
    <row r="64" spans="1:29" ht="15" x14ac:dyDescent="0.2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814"/>
      <c r="O64" s="814"/>
      <c r="P64" s="815"/>
      <c r="Q64" s="815"/>
      <c r="R64" s="57"/>
      <c r="S64" s="57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</row>
    <row r="65" spans="1:29" ht="15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814"/>
      <c r="O65" s="814"/>
      <c r="P65" s="815"/>
      <c r="Q65" s="815"/>
      <c r="R65" s="57"/>
      <c r="S65" s="57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</row>
    <row r="66" spans="1:29" ht="15" x14ac:dyDescent="0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814"/>
      <c r="O66" s="814"/>
      <c r="P66" s="815"/>
      <c r="Q66" s="815"/>
      <c r="R66" s="57"/>
      <c r="S66" s="57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</row>
    <row r="67" spans="1:29" ht="15" x14ac:dyDescent="0.2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814"/>
      <c r="O67" s="814"/>
      <c r="P67" s="815"/>
      <c r="Q67" s="815"/>
      <c r="R67" s="57"/>
      <c r="S67" s="57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</row>
    <row r="68" spans="1:29" ht="15" x14ac:dyDescent="0.2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814"/>
      <c r="O68" s="814"/>
      <c r="P68" s="815"/>
      <c r="Q68" s="815"/>
      <c r="R68" s="57"/>
      <c r="S68" s="57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</row>
    <row r="69" spans="1:29" ht="15" x14ac:dyDescent="0.2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814"/>
      <c r="O69" s="814"/>
      <c r="P69" s="815"/>
      <c r="Q69" s="815"/>
      <c r="R69" s="57"/>
      <c r="S69" s="57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</row>
    <row r="70" spans="1:29" ht="15" x14ac:dyDescent="0.2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814"/>
      <c r="O70" s="814"/>
      <c r="P70" s="815"/>
      <c r="Q70" s="815"/>
      <c r="R70" s="57"/>
      <c r="S70" s="57"/>
      <c r="Z70" s="227"/>
      <c r="AA70" s="227"/>
      <c r="AB70" s="227"/>
      <c r="AC70" s="227"/>
    </row>
    <row r="71" spans="1:29" ht="15" x14ac:dyDescent="0.2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814"/>
      <c r="O71" s="814"/>
      <c r="P71" s="815"/>
      <c r="Q71" s="815"/>
      <c r="R71" s="57"/>
      <c r="S71" s="57"/>
      <c r="Z71" s="227"/>
      <c r="AA71" s="227"/>
      <c r="AB71" s="227"/>
      <c r="AC71" s="227"/>
    </row>
    <row r="72" spans="1:29" ht="15" x14ac:dyDescent="0.2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814"/>
      <c r="O72" s="814"/>
      <c r="P72" s="815"/>
      <c r="Q72" s="815"/>
      <c r="R72" s="57"/>
      <c r="S72" s="57"/>
      <c r="Z72" s="227"/>
      <c r="AA72" s="227"/>
      <c r="AB72" s="227"/>
      <c r="AC72" s="227"/>
    </row>
    <row r="73" spans="1:29" ht="15" x14ac:dyDescent="0.2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814"/>
      <c r="O73" s="814"/>
      <c r="P73" s="815"/>
      <c r="Q73" s="815"/>
      <c r="R73" s="57"/>
      <c r="S73" s="57"/>
      <c r="Z73" s="227"/>
      <c r="AA73" s="227"/>
      <c r="AB73" s="227"/>
      <c r="AC73" s="227"/>
    </row>
    <row r="74" spans="1:29" ht="15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814"/>
      <c r="O74" s="814"/>
      <c r="P74" s="815"/>
      <c r="Q74" s="815"/>
      <c r="R74" s="57"/>
      <c r="S74" s="57"/>
      <c r="Z74" s="227"/>
      <c r="AA74" s="227"/>
      <c r="AB74" s="227"/>
      <c r="AC74" s="227"/>
    </row>
    <row r="75" spans="1:29" ht="15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814"/>
      <c r="O75" s="814"/>
      <c r="P75" s="815"/>
      <c r="Q75" s="815"/>
      <c r="R75" s="57"/>
      <c r="S75" s="57"/>
      <c r="Z75" s="227"/>
      <c r="AA75" s="227"/>
      <c r="AB75" s="227"/>
      <c r="AC75" s="227"/>
    </row>
    <row r="76" spans="1:29" ht="15" x14ac:dyDescent="0.2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814"/>
      <c r="O76" s="814"/>
      <c r="P76" s="815"/>
      <c r="Q76" s="815"/>
      <c r="R76" s="57"/>
      <c r="S76" s="57"/>
      <c r="Z76" s="227"/>
      <c r="AA76" s="227"/>
      <c r="AB76" s="227"/>
      <c r="AC76" s="227"/>
    </row>
    <row r="77" spans="1:29" ht="15" x14ac:dyDescent="0.2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814"/>
      <c r="O77" s="814"/>
      <c r="P77" s="815"/>
      <c r="Q77" s="815"/>
      <c r="R77" s="57"/>
      <c r="S77" s="57"/>
      <c r="Z77" s="227"/>
      <c r="AA77" s="227"/>
      <c r="AB77" s="227"/>
      <c r="AC77" s="227"/>
    </row>
    <row r="78" spans="1:29" ht="15" x14ac:dyDescent="0.2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814"/>
      <c r="O78" s="814"/>
      <c r="P78" s="815"/>
      <c r="Q78" s="815"/>
      <c r="R78" s="57"/>
      <c r="S78" s="57"/>
      <c r="Z78" s="227"/>
      <c r="AA78" s="227"/>
      <c r="AB78" s="227"/>
      <c r="AC78" s="227"/>
    </row>
    <row r="79" spans="1:29" x14ac:dyDescent="0.25">
      <c r="A79" s="321"/>
      <c r="B79" s="202"/>
      <c r="C79" s="202"/>
      <c r="D79" s="233"/>
      <c r="E79" s="233"/>
      <c r="O79" s="776"/>
      <c r="P79" s="378"/>
      <c r="Q79" s="764"/>
      <c r="R79" s="227"/>
      <c r="Z79" s="227"/>
      <c r="AA79" s="227"/>
      <c r="AB79" s="227"/>
      <c r="AC79" s="227"/>
    </row>
    <row r="80" spans="1:29" x14ac:dyDescent="0.25">
      <c r="A80" s="321"/>
      <c r="B80" s="242"/>
      <c r="C80" s="242"/>
      <c r="D80" s="243"/>
      <c r="E80" s="233"/>
      <c r="O80" s="776"/>
      <c r="P80" s="378"/>
      <c r="Q80" s="764"/>
      <c r="R80" s="227"/>
      <c r="Z80" s="227"/>
      <c r="AA80" s="227"/>
      <c r="AB80" s="227"/>
      <c r="AC80" s="227"/>
    </row>
    <row r="81" spans="1:29" x14ac:dyDescent="0.25">
      <c r="A81" s="321"/>
      <c r="B81" s="242"/>
      <c r="C81" s="242"/>
      <c r="D81" s="243"/>
      <c r="E81" s="233"/>
      <c r="O81" s="776"/>
      <c r="P81" s="378"/>
      <c r="Q81" s="764"/>
      <c r="R81" s="227"/>
      <c r="Z81" s="227"/>
      <c r="AA81" s="227"/>
      <c r="AB81" s="227"/>
      <c r="AC81" s="227"/>
    </row>
    <row r="82" spans="1:29" x14ac:dyDescent="0.25">
      <c r="A82" s="321"/>
      <c r="B82" s="242"/>
      <c r="C82" s="242"/>
      <c r="D82" s="243"/>
      <c r="E82" s="233"/>
      <c r="O82" s="776"/>
      <c r="P82" s="378"/>
      <c r="Q82" s="764"/>
      <c r="R82" s="227"/>
      <c r="Z82" s="227"/>
      <c r="AA82" s="227"/>
      <c r="AB82" s="227"/>
      <c r="AC82" s="227"/>
    </row>
    <row r="83" spans="1:29" x14ac:dyDescent="0.25">
      <c r="A83" s="321"/>
      <c r="B83" s="242"/>
      <c r="C83" s="242"/>
      <c r="D83" s="243"/>
      <c r="E83" s="233"/>
      <c r="O83" s="776"/>
      <c r="P83" s="378"/>
      <c r="Q83" s="764"/>
      <c r="R83" s="227"/>
      <c r="Z83" s="227"/>
      <c r="AA83" s="227"/>
      <c r="AB83" s="227"/>
      <c r="AC83" s="227"/>
    </row>
    <row r="84" spans="1:29" x14ac:dyDescent="0.25">
      <c r="A84" s="321"/>
      <c r="B84" s="242"/>
      <c r="C84" s="242"/>
      <c r="D84" s="243"/>
      <c r="E84" s="233"/>
      <c r="O84" s="776"/>
      <c r="P84" s="378"/>
      <c r="Q84" s="764"/>
      <c r="R84" s="227"/>
      <c r="Z84" s="227"/>
      <c r="AA84" s="227"/>
      <c r="AB84" s="227"/>
      <c r="AC84" s="227"/>
    </row>
    <row r="85" spans="1:29" x14ac:dyDescent="0.25">
      <c r="A85" s="321"/>
      <c r="B85" s="242"/>
      <c r="C85" s="242"/>
      <c r="D85" s="243"/>
      <c r="E85" s="233"/>
      <c r="O85" s="776"/>
      <c r="P85" s="378"/>
      <c r="Q85" s="764"/>
      <c r="R85" s="227"/>
      <c r="Z85" s="227"/>
      <c r="AA85" s="227"/>
      <c r="AB85" s="227"/>
      <c r="AC85" s="227"/>
    </row>
    <row r="86" spans="1:29" x14ac:dyDescent="0.25">
      <c r="A86" s="321"/>
      <c r="B86" s="242"/>
      <c r="C86" s="242"/>
      <c r="D86" s="243"/>
      <c r="E86" s="233"/>
      <c r="O86" s="776"/>
      <c r="P86" s="378"/>
      <c r="Q86" s="764"/>
      <c r="R86" s="227"/>
      <c r="Z86" s="227"/>
      <c r="AA86" s="227"/>
      <c r="AB86" s="227"/>
      <c r="AC86" s="227"/>
    </row>
    <row r="87" spans="1:29" x14ac:dyDescent="0.25">
      <c r="A87" s="321"/>
      <c r="B87" s="242"/>
      <c r="C87" s="242"/>
      <c r="D87" s="243"/>
      <c r="E87" s="233"/>
      <c r="O87" s="776"/>
      <c r="P87" s="378"/>
      <c r="Q87" s="764"/>
      <c r="R87" s="227"/>
      <c r="Z87" s="227"/>
      <c r="AA87" s="227"/>
      <c r="AB87" s="227"/>
      <c r="AC87" s="227"/>
    </row>
    <row r="88" spans="1:29" x14ac:dyDescent="0.25">
      <c r="A88" s="321"/>
      <c r="B88" s="242"/>
      <c r="C88" s="242"/>
      <c r="D88" s="243"/>
      <c r="E88" s="233"/>
      <c r="O88" s="776"/>
      <c r="P88" s="378"/>
      <c r="Q88" s="764"/>
      <c r="R88" s="227"/>
      <c r="Z88" s="227"/>
      <c r="AA88" s="227"/>
      <c r="AB88" s="227"/>
      <c r="AC88" s="227"/>
    </row>
    <row r="89" spans="1:29" x14ac:dyDescent="0.25">
      <c r="A89" s="321"/>
      <c r="B89" s="242"/>
      <c r="C89" s="242"/>
      <c r="D89" s="243"/>
      <c r="E89" s="233"/>
      <c r="O89" s="776"/>
      <c r="P89" s="378"/>
      <c r="Q89" s="764"/>
      <c r="R89" s="227"/>
      <c r="Z89" s="227"/>
      <c r="AA89" s="227"/>
      <c r="AB89" s="227"/>
      <c r="AC89" s="227"/>
    </row>
    <row r="90" spans="1:29" x14ac:dyDescent="0.25">
      <c r="A90" s="321"/>
      <c r="B90" s="242"/>
      <c r="C90" s="242"/>
      <c r="D90" s="243"/>
      <c r="E90" s="233"/>
      <c r="O90" s="776"/>
      <c r="P90" s="378"/>
      <c r="Q90" s="764"/>
      <c r="R90" s="227"/>
      <c r="Z90" s="227"/>
      <c r="AA90" s="227"/>
      <c r="AB90" s="227"/>
      <c r="AC90" s="227"/>
    </row>
    <row r="91" spans="1:29" x14ac:dyDescent="0.25">
      <c r="A91" s="321"/>
      <c r="B91" s="242"/>
      <c r="C91" s="242"/>
      <c r="D91" s="233"/>
      <c r="E91" s="233"/>
      <c r="O91" s="776"/>
      <c r="P91" s="378"/>
      <c r="Q91" s="764"/>
      <c r="R91" s="227"/>
      <c r="Z91" s="227"/>
      <c r="AA91" s="227"/>
      <c r="AB91" s="227"/>
      <c r="AC91" s="227"/>
    </row>
    <row r="92" spans="1:29" x14ac:dyDescent="0.25">
      <c r="A92" s="321"/>
      <c r="B92" s="233"/>
      <c r="C92" s="233"/>
      <c r="D92" s="233"/>
      <c r="E92" s="233"/>
      <c r="O92" s="776"/>
      <c r="P92" s="378"/>
      <c r="Q92" s="764"/>
      <c r="R92" s="227"/>
      <c r="Z92" s="227"/>
      <c r="AA92" s="227"/>
      <c r="AB92" s="227"/>
      <c r="AC92" s="227"/>
    </row>
    <row r="93" spans="1:29" x14ac:dyDescent="0.25">
      <c r="A93" s="320"/>
      <c r="O93" s="776"/>
      <c r="P93" s="378"/>
      <c r="Q93" s="764"/>
      <c r="R93" s="227"/>
      <c r="Z93" s="227"/>
      <c r="AA93" s="227"/>
      <c r="AB93" s="227"/>
      <c r="AC93" s="227"/>
    </row>
    <row r="94" spans="1:29" x14ac:dyDescent="0.25">
      <c r="A94" s="320"/>
      <c r="O94" s="776"/>
      <c r="P94" s="378"/>
      <c r="Q94" s="764"/>
      <c r="R94" s="227"/>
      <c r="Z94" s="227"/>
      <c r="AA94" s="227"/>
      <c r="AB94" s="227"/>
      <c r="AC94" s="227"/>
    </row>
    <row r="95" spans="1:29" x14ac:dyDescent="0.25">
      <c r="A95" s="320"/>
      <c r="O95" s="776"/>
      <c r="P95" s="378"/>
      <c r="Q95" s="764"/>
      <c r="R95" s="227"/>
      <c r="Z95" s="227"/>
      <c r="AA95" s="227"/>
      <c r="AB95" s="227"/>
      <c r="AC95" s="227"/>
    </row>
    <row r="96" spans="1:29" x14ac:dyDescent="0.25">
      <c r="A96" s="320"/>
      <c r="O96" s="776"/>
      <c r="P96" s="378"/>
      <c r="Q96" s="764"/>
      <c r="R96" s="227"/>
      <c r="Z96" s="227"/>
      <c r="AA96" s="227"/>
      <c r="AB96" s="227"/>
      <c r="AC96" s="227"/>
    </row>
    <row r="97" spans="1:29" x14ac:dyDescent="0.25">
      <c r="A97" s="320"/>
      <c r="O97" s="776"/>
      <c r="P97" s="378"/>
      <c r="Q97" s="764"/>
      <c r="R97" s="227"/>
      <c r="Z97" s="227"/>
      <c r="AA97" s="227"/>
      <c r="AB97" s="227"/>
      <c r="AC97" s="227"/>
    </row>
    <row r="98" spans="1:29" x14ac:dyDescent="0.25">
      <c r="A98" s="320"/>
      <c r="O98" s="776"/>
      <c r="P98" s="378"/>
      <c r="Q98" s="764"/>
      <c r="R98" s="227"/>
      <c r="Z98" s="227"/>
      <c r="AA98" s="227"/>
      <c r="AB98" s="227"/>
      <c r="AC98" s="227"/>
    </row>
    <row r="99" spans="1:29" x14ac:dyDescent="0.25">
      <c r="A99" s="320"/>
      <c r="O99" s="776"/>
      <c r="P99" s="378"/>
      <c r="Q99" s="764"/>
      <c r="R99" s="227"/>
      <c r="Z99" s="227"/>
      <c r="AA99" s="227"/>
      <c r="AB99" s="227"/>
      <c r="AC99" s="227"/>
    </row>
    <row r="100" spans="1:29" x14ac:dyDescent="0.25">
      <c r="O100" s="776"/>
      <c r="P100" s="378"/>
      <c r="Q100" s="764"/>
      <c r="R100" s="227"/>
      <c r="Z100" s="227"/>
      <c r="AA100" s="227"/>
      <c r="AB100" s="227"/>
      <c r="AC100" s="227"/>
    </row>
    <row r="101" spans="1:29" x14ac:dyDescent="0.25">
      <c r="O101" s="776"/>
      <c r="P101" s="378"/>
      <c r="Q101" s="764"/>
      <c r="R101" s="227"/>
      <c r="Z101" s="227"/>
      <c r="AA101" s="227"/>
      <c r="AB101" s="227"/>
      <c r="AC101" s="227"/>
    </row>
    <row r="102" spans="1:29" x14ac:dyDescent="0.25">
      <c r="O102" s="776"/>
      <c r="P102" s="378"/>
      <c r="Q102" s="764"/>
      <c r="R102" s="227"/>
      <c r="Z102" s="227"/>
      <c r="AA102" s="227"/>
      <c r="AB102" s="227"/>
      <c r="AC102" s="227"/>
    </row>
    <row r="103" spans="1:29" x14ac:dyDescent="0.25">
      <c r="O103" s="776"/>
      <c r="P103" s="378"/>
      <c r="Q103" s="764"/>
      <c r="R103" s="227"/>
      <c r="Z103" s="227"/>
      <c r="AA103" s="227"/>
      <c r="AB103" s="227"/>
      <c r="AC103" s="227"/>
    </row>
    <row r="104" spans="1:29" x14ac:dyDescent="0.25">
      <c r="O104" s="776"/>
      <c r="P104" s="378"/>
      <c r="Q104" s="764"/>
      <c r="R104" s="227"/>
      <c r="Z104" s="227"/>
      <c r="AA104" s="227"/>
      <c r="AB104" s="227"/>
      <c r="AC104" s="227"/>
    </row>
    <row r="105" spans="1:29" x14ac:dyDescent="0.25">
      <c r="O105" s="776"/>
      <c r="P105" s="378"/>
      <c r="Q105" s="764"/>
      <c r="R105" s="227"/>
      <c r="Z105" s="227"/>
      <c r="AA105" s="227"/>
      <c r="AB105" s="227"/>
      <c r="AC105" s="227"/>
    </row>
    <row r="106" spans="1:29" x14ac:dyDescent="0.25">
      <c r="O106" s="776"/>
      <c r="P106" s="378"/>
      <c r="Q106" s="764"/>
      <c r="R106" s="227"/>
      <c r="Z106" s="227"/>
      <c r="AA106" s="227"/>
      <c r="AB106" s="227"/>
      <c r="AC106" s="227"/>
    </row>
    <row r="107" spans="1:29" x14ac:dyDescent="0.25">
      <c r="O107" s="776"/>
      <c r="P107" s="378"/>
      <c r="Q107" s="764"/>
      <c r="R107" s="227"/>
      <c r="Z107" s="227"/>
      <c r="AA107" s="227"/>
      <c r="AB107" s="227"/>
      <c r="AC107" s="227"/>
    </row>
  </sheetData>
  <pageMargins left="0.75" right="0.75" top="1.75" bottom="0.5" header="0.75" footer="0.25"/>
  <pageSetup scale="50" orientation="landscape" r:id="rId1"/>
  <headerFooter>
    <oddHeader>&amp;C&amp;"-,Bold"Louisville Gas and Electric Company
Case No. 2016-00371
Summary of Forecasted Period Revenues
 for the Twelve Months Ended June 30,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af22b7b83cb37e883efa93ef1e587121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e0970a310b9621f0065b15e6675a12d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DR5"/>
          <xsd:enumeration value="DR5 Attachments"/>
          <xsd:enumeration value="DR5 eFiled/Filed"/>
          <xsd:enumeration value="DR6"/>
          <xsd:enumeration value="DR6 Attachments"/>
          <xsd:enumeration value="DR6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  <xsd:enumeration value="PSC DR4"/>
          <xsd:enumeration value="PSC DR5/Intervenors DR3"/>
          <xsd:enumeration value="PSC DR6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  <xsd:enumeration value="PSC DR 4"/>
          <xsd:enumeration value="PSC DR 5"/>
          <xsd:enumeration value="PSC DR 6"/>
          <xsd:enumeration value="PSC DR Post Hearing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Post Attachments</Round>
    <Rate_x0020_Case_x0020_Type xmlns="54fcda00-7b58-44a7-b108-8bd10a8a08ba">Kentucky</Rate_x0020_Case_x0020_Type>
    <Data_x0020_Request_x0020_Question_x0020_No_x002e_ xmlns="54fcda00-7b58-44a7-b108-8bd10a8a08ba">001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8BD164A-2CC6-420F-B223-24A3F3BD5B7B}"/>
</file>

<file path=customXml/itemProps2.xml><?xml version="1.0" encoding="utf-8"?>
<ds:datastoreItem xmlns:ds="http://schemas.openxmlformats.org/officeDocument/2006/customXml" ds:itemID="{D62054FC-6AEE-47AD-A061-B3B7CC3FB629}"/>
</file>

<file path=customXml/itemProps3.xml><?xml version="1.0" encoding="utf-8"?>
<ds:datastoreItem xmlns:ds="http://schemas.openxmlformats.org/officeDocument/2006/customXml" ds:itemID="{B1C83C99-855A-4AEE-8B88-7D7069183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</vt:i4>
      </vt:variant>
    </vt:vector>
  </HeadingPairs>
  <TitlesOfParts>
    <vt:vector size="29" baseType="lpstr">
      <vt:lpstr>Exhibit &amp; Schedules===&gt;</vt:lpstr>
      <vt:lpstr>Index</vt:lpstr>
      <vt:lpstr>Sch M-2.1-G</vt:lpstr>
      <vt:lpstr>Sch M-2.2-G</vt:lpstr>
      <vt:lpstr>Sch M-2.3 Pg.1</vt:lpstr>
      <vt:lpstr>Sch M-2.3 Pg. 2-9</vt:lpstr>
      <vt:lpstr>Summary &amp; Checks ==&gt;</vt:lpstr>
      <vt:lpstr>Revenue Summary B</vt:lpstr>
      <vt:lpstr>Data ==&gt;</vt:lpstr>
      <vt:lpstr>Summary SBR-Transport</vt:lpstr>
      <vt:lpstr>SBR</vt:lpstr>
      <vt:lpstr>12-MO Forecast Summary</vt:lpstr>
      <vt:lpstr>Jul17-Jun18 Retail</vt:lpstr>
      <vt:lpstr>Jul17-Jun18 Transport</vt:lpstr>
      <vt:lpstr>Forcasted Customer Cts</vt:lpstr>
      <vt:lpstr>Forecasted Calendar Month Usage</vt:lpstr>
      <vt:lpstr>Fin Forecast</vt:lpstr>
      <vt:lpstr>Adjustments</vt:lpstr>
      <vt:lpstr>Retail Rates</vt:lpstr>
      <vt:lpstr>Rate Categories</vt:lpstr>
      <vt:lpstr>GSC-DSM-GLT Factors</vt:lpstr>
      <vt:lpstr>Index!Print_Area</vt:lpstr>
      <vt:lpstr>'Revenue Summary B'!Print_Area</vt:lpstr>
      <vt:lpstr>SBR!Print_Area</vt:lpstr>
      <vt:lpstr>'Sch M-2.1-G'!Print_Area</vt:lpstr>
      <vt:lpstr>'Sch M-2.2-G'!Print_Area</vt:lpstr>
      <vt:lpstr>'Sch M-2.3 Pg. 2-9'!Print_Area</vt:lpstr>
      <vt:lpstr>'Sch M-2.3 Pg.1'!Print_Area</vt:lpstr>
      <vt:lpstr>'Revenue Summary 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2014-11-26T16:25:59Z</dcterms:created>
  <dcterms:modified xsi:type="dcterms:W3CDTF">2017-05-15T16:05:16Z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