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435"/>
  </bookViews>
  <sheets>
    <sheet name="Exhibit WSS-2" sheetId="1" r:id="rId1"/>
    <sheet name="No Exhibit Cust-Related Cos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\" hidden="1">#REF!</definedName>
    <definedName name="\\\" hidden="1">#REF!</definedName>
    <definedName name="\\\\" hidden="1">#REF!</definedName>
    <definedName name="\C" localSheetId="0">#REF!</definedName>
    <definedName name="\C">#REF!</definedName>
    <definedName name="\D">#REF!</definedName>
    <definedName name="\E" localSheetId="0">#REF!</definedName>
    <definedName name="\E">#REF!</definedName>
    <definedName name="\M">#REF!</definedName>
    <definedName name="\P">[1]dbase!#REF!</definedName>
    <definedName name="\R" localSheetId="0">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may1">#REF!</definedName>
    <definedName name="_Order1" hidden="1">0</definedName>
    <definedName name="_Order2" hidden="1">0</definedName>
    <definedName name="_P" localSheetId="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 localSheetId="0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 localSheetId="0">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 localSheetId="0">'Exhibit WSS-2'!Choices_Wrapper</definedName>
    <definedName name="Choices_Wrapper">[0]!Choices_Wrapper</definedName>
    <definedName name="CM" localSheetId="0">#REF!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 localSheetId="0">'Exhibit WSS-2'!Comp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 localSheetId="0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 localSheetId="0">#REF!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 localSheetId="0">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 localSheetId="0">#REF!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 localSheetId="0">#REF!</definedName>
    <definedName name="PAGE">#REF!</definedName>
    <definedName name="PAGE10" localSheetId="0">#REF!</definedName>
    <definedName name="PAGE10">#REF!</definedName>
    <definedName name="PAGE1B">[2]d20!#REF!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gFERC_449">#REF!</definedName>
    <definedName name="Plan">#REF!</definedName>
    <definedName name="_xlnm.Print_Area" localSheetId="0">'Exhibit WSS-2'!$A$1:$L$60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 localSheetId="0">#REF!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0">#REF!</definedName>
    <definedName name="RevCol01B">[12]RevDatabase!#REF!</definedName>
    <definedName name="RevCol02">#REF!</definedName>
    <definedName name="RevCol02A">#REF!</definedName>
    <definedName name="RevCol02B" localSheetId="0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0">#REF!</definedName>
    <definedName name="RevColTmp">[12]RevDatabase!#REF!</definedName>
    <definedName name="RevColTmpA" localSheetId="0">#REF!</definedName>
    <definedName name="RevColTmpA">[12]RevDatabase!#REF!</definedName>
    <definedName name="RevColTmpB" localSheetId="0">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 localSheetId="0">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 localSheetId="0">#REF!</definedName>
    <definedName name="Support">#REF!</definedName>
    <definedName name="SUPPORT5" localSheetId="0">#REF!</definedName>
    <definedName name="SUPPORT5">#REF!</definedName>
    <definedName name="SUPPORT6" localSheetId="0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 localSheetId="0">'Exhibit WSS-2'!test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0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 localSheetId="0">#REF!</definedName>
    <definedName name="YT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  <c r="K32" i="1" l="1"/>
  <c r="L32" i="1" s="1"/>
  <c r="M32" i="1" s="1"/>
  <c r="G30" i="1"/>
  <c r="L30" i="1" s="1"/>
  <c r="J42" i="1" l="1"/>
  <c r="J45" i="1" s="1"/>
  <c r="L29" i="1"/>
  <c r="M29" i="1" s="1"/>
  <c r="L31" i="1"/>
  <c r="M31" i="1" s="1"/>
  <c r="M30" i="1"/>
  <c r="F16" i="1"/>
  <c r="D16" i="1"/>
  <c r="K16" i="1" l="1"/>
  <c r="I16" i="1"/>
  <c r="J16" i="1"/>
  <c r="H16" i="1"/>
  <c r="E16" i="1"/>
  <c r="G16" i="1"/>
  <c r="J51" i="1" l="1"/>
  <c r="J52" i="1" s="1"/>
  <c r="K51" i="1"/>
  <c r="E51" i="1"/>
  <c r="G51" i="1"/>
  <c r="H51" i="1"/>
  <c r="H52" i="1" s="1"/>
  <c r="I51" i="1"/>
  <c r="J56" i="1"/>
  <c r="F50" i="1"/>
  <c r="E43" i="1"/>
  <c r="L43" i="1" s="1"/>
  <c r="M43" i="1" s="1"/>
  <c r="G40" i="1"/>
  <c r="F39" i="1"/>
  <c r="E38" i="1"/>
  <c r="E18" i="1"/>
  <c r="L33" i="1" l="1"/>
  <c r="M33" i="1" s="1"/>
  <c r="H22" i="1"/>
  <c r="J22" i="1"/>
  <c r="K22" i="1"/>
  <c r="G22" i="1"/>
  <c r="I22" i="1"/>
  <c r="F52" i="1"/>
  <c r="L36" i="1"/>
  <c r="M36" i="1" s="1"/>
  <c r="G52" i="1"/>
  <c r="I42" i="1"/>
  <c r="L35" i="1"/>
  <c r="M35" i="1" s="1"/>
  <c r="D52" i="1"/>
  <c r="L38" i="1"/>
  <c r="M38" i="1" s="1"/>
  <c r="L40" i="1"/>
  <c r="M40" i="1" s="1"/>
  <c r="L50" i="1"/>
  <c r="M50" i="1" s="1"/>
  <c r="F18" i="1"/>
  <c r="L39" i="1"/>
  <c r="M39" i="1" s="1"/>
  <c r="D20" i="1"/>
  <c r="F42" i="1"/>
  <c r="F45" i="1" s="1"/>
  <c r="E22" i="1"/>
  <c r="H41" i="1"/>
  <c r="H42" i="1"/>
  <c r="I52" i="1"/>
  <c r="F22" i="1"/>
  <c r="I41" i="1"/>
  <c r="D45" i="1"/>
  <c r="K52" i="1"/>
  <c r="E42" i="1"/>
  <c r="G42" i="1"/>
  <c r="G45" i="1" s="1"/>
  <c r="K42" i="1"/>
  <c r="K45" i="1" s="1"/>
  <c r="L13" i="1"/>
  <c r="E49" i="1"/>
  <c r="D24" i="1" l="1"/>
  <c r="D47" i="1" s="1"/>
  <c r="D54" i="1" s="1"/>
  <c r="K37" i="1"/>
  <c r="I45" i="1"/>
  <c r="L14" i="1"/>
  <c r="M14" i="1" s="1"/>
  <c r="L42" i="1"/>
  <c r="M42" i="1" s="1"/>
  <c r="F37" i="1"/>
  <c r="E37" i="1"/>
  <c r="L22" i="1"/>
  <c r="M22" i="1" s="1"/>
  <c r="M13" i="1"/>
  <c r="I37" i="1"/>
  <c r="H37" i="1"/>
  <c r="G37" i="1"/>
  <c r="L51" i="1"/>
  <c r="M51" i="1" s="1"/>
  <c r="G18" i="1"/>
  <c r="F20" i="1"/>
  <c r="F24" i="1" s="1"/>
  <c r="E45" i="1"/>
  <c r="E52" i="1"/>
  <c r="L52" i="1" s="1"/>
  <c r="M52" i="1" s="1"/>
  <c r="L49" i="1"/>
  <c r="M49" i="1" s="1"/>
  <c r="E20" i="1"/>
  <c r="L41" i="1"/>
  <c r="M41" i="1" s="1"/>
  <c r="H45" i="1"/>
  <c r="L15" i="1" l="1"/>
  <c r="L37" i="1"/>
  <c r="M37" i="1" s="1"/>
  <c r="L45" i="1"/>
  <c r="M45" i="1" s="1"/>
  <c r="E24" i="1"/>
  <c r="H18" i="1"/>
  <c r="G20" i="1"/>
  <c r="G24" i="1" s="1"/>
  <c r="M15" i="1" l="1"/>
  <c r="L16" i="1"/>
  <c r="M16" i="1" s="1"/>
  <c r="I18" i="1"/>
  <c r="J18" i="1" s="1"/>
  <c r="J20" i="1" s="1"/>
  <c r="J24" i="1" s="1"/>
  <c r="H20" i="1"/>
  <c r="I20" i="1" l="1"/>
  <c r="I24" i="1" s="1"/>
  <c r="K18" i="1"/>
  <c r="K20" i="1" s="1"/>
  <c r="K24" i="1" s="1"/>
  <c r="H24" i="1"/>
  <c r="L20" i="1" l="1"/>
  <c r="M20" i="1" s="1"/>
  <c r="L24" i="1"/>
  <c r="K26" i="1" l="1"/>
  <c r="J26" i="1"/>
  <c r="M24" i="1"/>
  <c r="F26" i="1"/>
  <c r="E26" i="1"/>
  <c r="E47" i="1" s="1"/>
  <c r="G26" i="1"/>
  <c r="H26" i="1"/>
  <c r="I26" i="1"/>
  <c r="I47" i="1" l="1"/>
  <c r="I54" i="1" s="1"/>
  <c r="I58" i="1" s="1"/>
  <c r="G47" i="1"/>
  <c r="G54" i="1" s="1"/>
  <c r="G58" i="1" s="1"/>
  <c r="F47" i="1"/>
  <c r="F54" i="1" s="1"/>
  <c r="F58" i="1" s="1"/>
  <c r="L64" i="1" s="1"/>
  <c r="J47" i="1"/>
  <c r="J54" i="1" s="1"/>
  <c r="J58" i="1" s="1"/>
  <c r="H47" i="1"/>
  <c r="H54" i="1" s="1"/>
  <c r="H58" i="1" s="1"/>
  <c r="K47" i="1"/>
  <c r="K54" i="1" s="1"/>
  <c r="K58" i="1" s="1"/>
  <c r="L26" i="1"/>
  <c r="M26" i="1" s="1"/>
  <c r="L58" i="1" l="1"/>
  <c r="L60" i="1"/>
  <c r="L70" i="1" s="1"/>
  <c r="L71" i="1" s="1"/>
  <c r="L47" i="1"/>
  <c r="M47" i="1" s="1"/>
  <c r="E54" i="1"/>
  <c r="E58" i="1" l="1"/>
  <c r="L61" i="1" s="1"/>
  <c r="L63" i="1" s="1"/>
  <c r="L54" i="1"/>
  <c r="M54" i="1" s="1"/>
  <c r="L73" i="1" l="1"/>
  <c r="M73" i="1" s="1"/>
</calcChain>
</file>

<file path=xl/sharedStrings.xml><?xml version="1.0" encoding="utf-8"?>
<sst xmlns="http://schemas.openxmlformats.org/spreadsheetml/2006/main" count="125" uniqueCount="121">
  <si>
    <t>Louisville Gas and Electric Company</t>
  </si>
  <si>
    <t>For the 12 Months Ended June 30, 2018</t>
  </si>
  <si>
    <t>Rate RS</t>
  </si>
  <si>
    <t>Production</t>
  </si>
  <si>
    <t>Transmission</t>
  </si>
  <si>
    <t>Distribution</t>
  </si>
  <si>
    <t>Description</t>
  </si>
  <si>
    <t>Reference</t>
  </si>
  <si>
    <t>Amount</t>
  </si>
  <si>
    <t>Demand-Related</t>
  </si>
  <si>
    <t>Energy-Related</t>
  </si>
  <si>
    <t>Customer-Related</t>
  </si>
  <si>
    <t>Total</t>
  </si>
  <si>
    <t>Check</t>
  </si>
  <si>
    <t>Rate Base as Adjusted</t>
  </si>
  <si>
    <t>Rate of Return</t>
  </si>
  <si>
    <t>Return</t>
  </si>
  <si>
    <t>Interest Expenses</t>
  </si>
  <si>
    <t>Net Income</t>
  </si>
  <si>
    <t>Income Taxes</t>
  </si>
  <si>
    <t>Operation and Maintenance Expenses</t>
  </si>
  <si>
    <t>Depreciation Expenses</t>
  </si>
  <si>
    <t>Other Taxes</t>
  </si>
  <si>
    <t>Other Depreciation Expenses</t>
  </si>
  <si>
    <t>Expense Adjustments - Prod. Demand</t>
  </si>
  <si>
    <t>Expense Adjustments - Energy</t>
  </si>
  <si>
    <t>Expense Adjustments - Trans. Demand</t>
  </si>
  <si>
    <t>Expense Adjustments - Distribution</t>
  </si>
  <si>
    <t>Expense Adjustments - Other</t>
  </si>
  <si>
    <t>Revenue Adjustments - Prod Demand</t>
  </si>
  <si>
    <t>Proforma Adjustments - Total</t>
  </si>
  <si>
    <t>Total Cost of Service</t>
  </si>
  <si>
    <t>Less: Misc Revenue - Prod Demand</t>
  </si>
  <si>
    <t>Less: Misc Revenue - Energy</t>
  </si>
  <si>
    <t>Less: Misc Revenue - Other</t>
  </si>
  <si>
    <t>Less: Misc Revenue - Total</t>
  </si>
  <si>
    <t>Net Cost of Service</t>
  </si>
  <si>
    <t>Billing Units</t>
  </si>
  <si>
    <t>Unit Costs</t>
  </si>
  <si>
    <t>Customer Cost</t>
  </si>
  <si>
    <t>Infrastructure Energy Cost</t>
  </si>
  <si>
    <t>ECR in Base Rates</t>
  </si>
  <si>
    <t>Total Infrastructure Energy Cost</t>
  </si>
  <si>
    <t>Variable Energy Cost</t>
  </si>
  <si>
    <t>Actual Customer Charge</t>
  </si>
  <si>
    <t>Difference ($)</t>
  </si>
  <si>
    <t>Increase in Energy Charge</t>
  </si>
  <si>
    <t>ECR Factor</t>
  </si>
  <si>
    <t>Resulting Infrastrusture Charge</t>
  </si>
  <si>
    <t>General, Common &amp; Intangible</t>
  </si>
  <si>
    <t>Working Capital</t>
  </si>
  <si>
    <t>Deferred Debits</t>
  </si>
  <si>
    <t>Net Utility Plant</t>
  </si>
  <si>
    <t xml:space="preserve"> Production Expenses</t>
  </si>
  <si>
    <t xml:space="preserve"> Transmission Expenses</t>
  </si>
  <si>
    <t xml:space="preserve"> Distribution Expenses</t>
  </si>
  <si>
    <t xml:space="preserve"> Administrative &amp; General</t>
  </si>
  <si>
    <t xml:space="preserve"> Customer Service Expenses</t>
  </si>
  <si>
    <t>Watkin's Residential Customer-related Costs</t>
  </si>
  <si>
    <t>Account</t>
  </si>
  <si>
    <t>$ Amount</t>
  </si>
  <si>
    <t>301 - Organization</t>
  </si>
  <si>
    <t>364 &amp; 365 - Overhead Lines</t>
  </si>
  <si>
    <t>366 &amp; 367 - Underground Lines</t>
  </si>
  <si>
    <t>368 - Transformers</t>
  </si>
  <si>
    <t>369 - Services</t>
  </si>
  <si>
    <t>370 - Meters</t>
  </si>
  <si>
    <t>General Plant</t>
  </si>
  <si>
    <t>Common Plant</t>
  </si>
  <si>
    <t>105 - Dist Plant Held for Future</t>
  </si>
  <si>
    <t>CWIP - Distribution</t>
  </si>
  <si>
    <t>CWIP - General</t>
  </si>
  <si>
    <t>Less: Distribution Dep Reserve</t>
  </si>
  <si>
    <t>Less: General Dep Reserve</t>
  </si>
  <si>
    <t>Less: Intangible Dep Reserve</t>
  </si>
  <si>
    <t>Cash Working Capital</t>
  </si>
  <si>
    <t>Materials &amp; Supplies</t>
  </si>
  <si>
    <t>Prepayments</t>
  </si>
  <si>
    <t>ADIT</t>
  </si>
  <si>
    <t>Customer Advances</t>
  </si>
  <si>
    <t>580 - Operations Supervision</t>
  </si>
  <si>
    <t>584 - Underground Line Exp</t>
  </si>
  <si>
    <t>583 - Overhead Line Exp</t>
  </si>
  <si>
    <t>586 - Meter Expenses</t>
  </si>
  <si>
    <t>587 - Customer Install Exp</t>
  </si>
  <si>
    <t>588 - Misc Dist Expense</t>
  </si>
  <si>
    <t>589 - Rents</t>
  </si>
  <si>
    <t>590 - Maintenance Supervision</t>
  </si>
  <si>
    <t>593 - Maint of Overhead Lines</t>
  </si>
  <si>
    <t>594 - Maint of Undergr Lines</t>
  </si>
  <si>
    <t>595 - Maint of Line Trans</t>
  </si>
  <si>
    <t>597 - Maint of Meters</t>
  </si>
  <si>
    <t>598 - Misc Distrib Expenses</t>
  </si>
  <si>
    <t>901 - Supervision/Cust Account</t>
  </si>
  <si>
    <t>902 - Meter Reading Expense</t>
  </si>
  <si>
    <t>903 - Records and Collections</t>
  </si>
  <si>
    <t>904 - Uncollectible Accounts</t>
  </si>
  <si>
    <t>905 - Misc Cust Accounts</t>
  </si>
  <si>
    <t>907 - Supervision</t>
  </si>
  <si>
    <t>908 - Customer Assistance</t>
  </si>
  <si>
    <t>909 - Informational Expenses</t>
  </si>
  <si>
    <t>910 - Misc Customer Service</t>
  </si>
  <si>
    <t>913 - Advertising Expense</t>
  </si>
  <si>
    <t>920 - Admin &amp; Gen Salaries</t>
  </si>
  <si>
    <t>921 - Office Supplies</t>
  </si>
  <si>
    <t>922 - Admin Expenses</t>
  </si>
  <si>
    <t xml:space="preserve">923 - Outside Services </t>
  </si>
  <si>
    <t>924 - Property Insurance</t>
  </si>
  <si>
    <t>925 - Injuries &amp; Damages</t>
  </si>
  <si>
    <t>926 - Employee Benefits</t>
  </si>
  <si>
    <t>928 - Reg Commission Exp</t>
  </si>
  <si>
    <t>929 - Duplicate Charges</t>
  </si>
  <si>
    <t>930 - Misc General Expenses</t>
  </si>
  <si>
    <t>931 - Rents &amp; Leases</t>
  </si>
  <si>
    <t>935 - Maintenance of Gen Plt</t>
  </si>
  <si>
    <t>Dist Depreciation Expenses</t>
  </si>
  <si>
    <t>General Depreciation Expenses</t>
  </si>
  <si>
    <t>Property Taxes</t>
  </si>
  <si>
    <t>Amortization of ITCs</t>
  </si>
  <si>
    <t>Interest</t>
  </si>
  <si>
    <t>Unit Cost of Service Based on Watkin's 100% Pri Dist Demand Cost of Service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</si>
</sst>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* #,##0.00000_);_(* \(#,##0.00000\);_(* &quot;-&quot;??_);_(@_)"/>
    <numFmt numFmtId="168" formatCode="_(* #,##0.0000_);_(* \(#,##0.0000\);_(* &quot;-&quot;??_);_(@_)"/>
    <numFmt numFmtId="169" formatCode="0.000E+00"/>
  </numFmts>
  <fonts count="10" x14ac:knownFonts="1">
    <font>
      <sz val="11"/>
      <name val="Times New Roman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 applyAlignment="1">
      <alignment horizontal="center"/>
    </xf>
    <xf numFmtId="0" fontId="4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" xfId="0" applyBorder="1"/>
    <xf numFmtId="0" fontId="4" fillId="0" borderId="2" xfId="0" applyFont="1" applyBorder="1"/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0" fillId="0" borderId="7" xfId="0" quotePrefix="1" applyBorder="1"/>
    <xf numFmtId="0" fontId="4" fillId="0" borderId="8" xfId="0" applyFont="1" applyBorder="1"/>
    <xf numFmtId="164" fontId="8" fillId="0" borderId="7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" xfId="0" quotePrefix="1" applyFont="1" applyBorder="1"/>
    <xf numFmtId="0" fontId="4" fillId="0" borderId="8" xfId="0" applyFont="1" applyFill="1" applyBorder="1"/>
    <xf numFmtId="0" fontId="9" fillId="0" borderId="8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164" fontId="0" fillId="0" borderId="9" xfId="2" applyNumberFormat="1" applyFont="1" applyBorder="1"/>
    <xf numFmtId="10" fontId="8" fillId="0" borderId="7" xfId="3" applyNumberFormat="1" applyFont="1" applyFill="1" applyBorder="1" applyAlignment="1">
      <alignment horizontal="right"/>
    </xf>
    <xf numFmtId="10" fontId="8" fillId="0" borderId="0" xfId="3" applyNumberFormat="1" applyFont="1" applyBorder="1" applyAlignment="1">
      <alignment horizontal="right"/>
    </xf>
    <xf numFmtId="0" fontId="0" fillId="0" borderId="7" xfId="0" applyBorder="1"/>
    <xf numFmtId="164" fontId="4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7" xfId="1" applyNumberFormat="1" applyFont="1" applyFill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5" fontId="4" fillId="0" borderId="7" xfId="1" applyNumberFormat="1" applyFont="1" applyFill="1" applyBorder="1"/>
    <xf numFmtId="165" fontId="4" fillId="0" borderId="0" xfId="1" applyNumberFormat="1" applyFont="1" applyBorder="1" applyAlignment="1">
      <alignment horizontal="center"/>
    </xf>
    <xf numFmtId="0" fontId="7" fillId="0" borderId="7" xfId="0" quotePrefix="1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164" fontId="4" fillId="0" borderId="7" xfId="0" applyNumberFormat="1" applyFont="1" applyFill="1" applyBorder="1" applyAlignment="1">
      <alignment horizontal="center"/>
    </xf>
    <xf numFmtId="44" fontId="4" fillId="0" borderId="7" xfId="2" applyFont="1" applyFill="1" applyBorder="1" applyAlignment="1">
      <alignment horizontal="center"/>
    </xf>
    <xf numFmtId="164" fontId="8" fillId="0" borderId="0" xfId="2" applyNumberFormat="1" applyFont="1" applyBorder="1"/>
    <xf numFmtId="165" fontId="8" fillId="0" borderId="7" xfId="1" applyNumberFormat="1" applyFont="1" applyFill="1" applyBorder="1"/>
    <xf numFmtId="165" fontId="8" fillId="0" borderId="0" xfId="1" applyNumberFormat="1" applyFont="1" applyFill="1" applyBorder="1"/>
    <xf numFmtId="0" fontId="4" fillId="0" borderId="7" xfId="0" applyFont="1" applyBorder="1" applyAlignment="1">
      <alignment horizontal="center"/>
    </xf>
    <xf numFmtId="165" fontId="7" fillId="0" borderId="0" xfId="0" applyNumberFormat="1" applyFont="1" applyFill="1"/>
    <xf numFmtId="164" fontId="4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8" fillId="0" borderId="0" xfId="1" applyNumberFormat="1" applyFont="1" applyBorder="1"/>
    <xf numFmtId="0" fontId="7" fillId="0" borderId="10" xfId="0" quotePrefix="1" applyFont="1" applyBorder="1"/>
    <xf numFmtId="0" fontId="4" fillId="0" borderId="11" xfId="0" applyFont="1" applyBorder="1"/>
    <xf numFmtId="0" fontId="8" fillId="0" borderId="10" xfId="0" applyFont="1" applyBorder="1" applyAlignment="1">
      <alignment horizontal="center"/>
    </xf>
    <xf numFmtId="166" fontId="8" fillId="0" borderId="14" xfId="2" applyNumberFormat="1" applyFont="1" applyBorder="1"/>
    <xf numFmtId="44" fontId="8" fillId="0" borderId="14" xfId="2" applyFont="1" applyBorder="1"/>
    <xf numFmtId="164" fontId="0" fillId="0" borderId="12" xfId="2" applyNumberFormat="1" applyFont="1" applyBorder="1"/>
    <xf numFmtId="0" fontId="4" fillId="0" borderId="4" xfId="0" applyFont="1" applyBorder="1"/>
    <xf numFmtId="2" fontId="0" fillId="0" borderId="5" xfId="0" applyNumberFormat="1" applyBorder="1"/>
    <xf numFmtId="167" fontId="0" fillId="0" borderId="5" xfId="1" applyNumberFormat="1" applyFont="1" applyBorder="1"/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44" fontId="0" fillId="0" borderId="0" xfId="0" applyNumberFormat="1"/>
    <xf numFmtId="165" fontId="0" fillId="0" borderId="0" xfId="0" applyNumberFormat="1"/>
    <xf numFmtId="167" fontId="0" fillId="0" borderId="0" xfId="0" applyNumberFormat="1" applyBorder="1"/>
    <xf numFmtId="168" fontId="0" fillId="0" borderId="0" xfId="1" applyNumberFormat="1" applyFont="1"/>
    <xf numFmtId="0" fontId="4" fillId="0" borderId="0" xfId="0" applyFont="1" applyFill="1" applyBorder="1"/>
    <xf numFmtId="44" fontId="0" fillId="0" borderId="0" xfId="2" applyFont="1" applyBorder="1"/>
    <xf numFmtId="164" fontId="0" fillId="0" borderId="0" xfId="2" applyNumberFormat="1" applyFont="1" applyBorder="1"/>
    <xf numFmtId="44" fontId="0" fillId="0" borderId="0" xfId="2" applyFont="1"/>
    <xf numFmtId="169" fontId="0" fillId="0" borderId="0" xfId="0" applyNumberFormat="1"/>
    <xf numFmtId="167" fontId="0" fillId="0" borderId="0" xfId="0" applyNumberFormat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7" fillId="0" borderId="7" xfId="2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4" fontId="8" fillId="0" borderId="5" xfId="2" applyFont="1" applyBorder="1"/>
    <xf numFmtId="44" fontId="8" fillId="0" borderId="11" xfId="2" applyFont="1" applyBorder="1"/>
    <xf numFmtId="165" fontId="7" fillId="0" borderId="7" xfId="0" applyNumberFormat="1" applyFont="1" applyBorder="1" applyAlignment="1">
      <alignment horizontal="center"/>
    </xf>
    <xf numFmtId="0" fontId="0" fillId="0" borderId="3" xfId="0" applyBorder="1"/>
    <xf numFmtId="164" fontId="8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2" xfId="0" applyFont="1" applyBorder="1"/>
    <xf numFmtId="0" fontId="1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7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8" xfId="2" applyNumberFormat="1" applyFont="1" applyBorder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4" fontId="0" fillId="0" borderId="1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6" xfId="2" applyNumberFormat="1" applyFont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Normal="100" zoomScaleSheetLayoutView="80" workbookViewId="0">
      <selection sqref="A1:L1"/>
    </sheetView>
  </sheetViews>
  <sheetFormatPr defaultRowHeight="15" x14ac:dyDescent="0.25"/>
  <cols>
    <col min="1" max="1" width="4.5703125" customWidth="1"/>
    <col min="2" max="2" width="36.140625" style="7" customWidth="1"/>
    <col min="3" max="3" width="30.7109375" hidden="1" customWidth="1"/>
    <col min="4" max="4" width="20.140625" customWidth="1"/>
    <col min="5" max="5" width="19.42578125" customWidth="1"/>
    <col min="6" max="6" width="19.140625" customWidth="1"/>
    <col min="7" max="7" width="20.28515625" customWidth="1"/>
    <col min="8" max="8" width="19.5703125" customWidth="1"/>
    <col min="9" max="9" width="18.7109375" bestFit="1" customWidth="1"/>
    <col min="10" max="11" width="19.5703125" customWidth="1"/>
    <col min="12" max="12" width="23.7109375" customWidth="1"/>
    <col min="13" max="13" width="17.85546875" customWidth="1"/>
  </cols>
  <sheetData>
    <row r="1" spans="1:15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1"/>
      <c r="O1" s="1"/>
    </row>
    <row r="2" spans="1:1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</row>
    <row r="3" spans="1:15" ht="15.75" x14ac:dyDescent="0.25">
      <c r="A3" s="96" t="s">
        <v>120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1"/>
      <c r="N3" s="1"/>
      <c r="O3" s="1"/>
    </row>
    <row r="4" spans="1:15" ht="15.75" x14ac:dyDescent="0.2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1"/>
      <c r="N4" s="1"/>
      <c r="O4" s="1"/>
    </row>
    <row r="5" spans="1:15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</row>
    <row r="6" spans="1:15" ht="15.75" x14ac:dyDescent="0.25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1"/>
      <c r="N6" s="1"/>
      <c r="O6" s="1"/>
    </row>
    <row r="7" spans="1:15" ht="15.75" thickBot="1" x14ac:dyDescent="0.3"/>
    <row r="8" spans="1:15" ht="15.75" thickBot="1" x14ac:dyDescent="0.3">
      <c r="A8" s="8"/>
      <c r="B8" s="9"/>
      <c r="C8" s="10"/>
      <c r="D8" s="8"/>
      <c r="E8" s="97" t="s">
        <v>3</v>
      </c>
      <c r="F8" s="98"/>
      <c r="G8" s="11" t="s">
        <v>4</v>
      </c>
      <c r="H8" s="97" t="s">
        <v>5</v>
      </c>
      <c r="I8" s="98"/>
      <c r="J8" s="97" t="s">
        <v>49</v>
      </c>
      <c r="K8" s="98"/>
      <c r="L8" s="10"/>
      <c r="M8" s="12"/>
    </row>
    <row r="9" spans="1:15" x14ac:dyDescent="0.25">
      <c r="A9" s="13"/>
      <c r="B9" s="14"/>
      <c r="C9" s="15"/>
      <c r="D9" s="15"/>
      <c r="E9" s="10"/>
      <c r="F9" s="10"/>
      <c r="G9" s="10"/>
      <c r="H9" s="10"/>
      <c r="I9" s="10"/>
      <c r="J9" s="8"/>
      <c r="K9" s="8"/>
      <c r="L9" s="15"/>
      <c r="M9" s="16"/>
    </row>
    <row r="10" spans="1:15" x14ac:dyDescent="0.25">
      <c r="A10" s="13"/>
      <c r="B10" s="14"/>
      <c r="C10" s="15"/>
      <c r="D10" s="15"/>
      <c r="E10" s="15"/>
      <c r="F10" s="15"/>
      <c r="G10" s="15"/>
      <c r="H10" s="15"/>
      <c r="I10" s="15"/>
      <c r="J10" s="13"/>
      <c r="K10" s="13"/>
      <c r="L10" s="15"/>
      <c r="M10" s="16"/>
    </row>
    <row r="11" spans="1:15" ht="15.75" thickBot="1" x14ac:dyDescent="0.3">
      <c r="A11" s="17"/>
      <c r="B11" s="18" t="s">
        <v>6</v>
      </c>
      <c r="C11" s="19" t="s">
        <v>7</v>
      </c>
      <c r="D11" s="19" t="s">
        <v>8</v>
      </c>
      <c r="E11" s="20" t="s">
        <v>9</v>
      </c>
      <c r="F11" s="20" t="s">
        <v>10</v>
      </c>
      <c r="G11" s="20" t="s">
        <v>9</v>
      </c>
      <c r="H11" s="20" t="s">
        <v>9</v>
      </c>
      <c r="I11" s="20" t="s">
        <v>11</v>
      </c>
      <c r="J11" s="20" t="s">
        <v>9</v>
      </c>
      <c r="K11" s="20" t="s">
        <v>11</v>
      </c>
      <c r="L11" s="21" t="s">
        <v>12</v>
      </c>
      <c r="M11" s="21" t="s">
        <v>13</v>
      </c>
    </row>
    <row r="12" spans="1:15" x14ac:dyDescent="0.25">
      <c r="A12" s="22"/>
      <c r="B12" s="23"/>
      <c r="C12" s="24"/>
      <c r="D12" s="24"/>
      <c r="E12" s="25"/>
      <c r="F12" s="25"/>
      <c r="G12" s="25"/>
      <c r="H12" s="25"/>
      <c r="I12" s="25"/>
      <c r="J12" s="25"/>
      <c r="K12" s="25"/>
      <c r="L12" s="92"/>
      <c r="M12" s="26"/>
    </row>
    <row r="13" spans="1:15" x14ac:dyDescent="0.25">
      <c r="A13" s="27"/>
      <c r="B13" s="28" t="s">
        <v>52</v>
      </c>
      <c r="C13" s="84"/>
      <c r="D13" s="29">
        <v>1243011450.7341425</v>
      </c>
      <c r="E13" s="30">
        <v>578819253.27419996</v>
      </c>
      <c r="F13" s="30">
        <v>0</v>
      </c>
      <c r="G13" s="30">
        <v>128479403.11202565</v>
      </c>
      <c r="H13" s="30">
        <v>343571478.57743037</v>
      </c>
      <c r="I13" s="30">
        <v>136317823.57382756</v>
      </c>
      <c r="J13" s="30">
        <v>49483989.009237021</v>
      </c>
      <c r="K13" s="30">
        <v>6339503.1874222141</v>
      </c>
      <c r="L13" s="93">
        <f>SUM(E13:K13)</f>
        <v>1243011450.7341428</v>
      </c>
      <c r="M13" s="31" t="str">
        <f>IF(ABS(L13-D13)&lt;0.01,"ok","err")</f>
        <v>ok</v>
      </c>
    </row>
    <row r="14" spans="1:15" x14ac:dyDescent="0.25">
      <c r="A14" s="32"/>
      <c r="B14" s="28" t="s">
        <v>50</v>
      </c>
      <c r="C14" s="85"/>
      <c r="D14" s="29">
        <v>68283713.645398259</v>
      </c>
      <c r="E14" s="30">
        <v>22396413.38116071</v>
      </c>
      <c r="F14" s="30">
        <v>18583061.609546062</v>
      </c>
      <c r="G14" s="30">
        <v>4971289.0626645852</v>
      </c>
      <c r="H14" s="30">
        <v>13293906.200717798</v>
      </c>
      <c r="I14" s="30">
        <v>6807749.2101873942</v>
      </c>
      <c r="J14" s="30">
        <v>1914697.6665523523</v>
      </c>
      <c r="K14" s="30">
        <v>316596.51456935488</v>
      </c>
      <c r="L14" s="93">
        <f>SUM(E14:K14)</f>
        <v>68283713.645398259</v>
      </c>
      <c r="M14" s="31" t="str">
        <f>IF(ABS(L14-D14)&lt;0.01,"ok","err")</f>
        <v>ok</v>
      </c>
    </row>
    <row r="15" spans="1:15" x14ac:dyDescent="0.25">
      <c r="A15" s="32"/>
      <c r="B15" s="28" t="s">
        <v>51</v>
      </c>
      <c r="C15" s="85"/>
      <c r="D15" s="29">
        <v>-248548992.31718016</v>
      </c>
      <c r="E15" s="30">
        <v>-115713020.57639031</v>
      </c>
      <c r="F15" s="30">
        <v>0</v>
      </c>
      <c r="G15" s="30">
        <v>-25684597.967064261</v>
      </c>
      <c r="H15" s="30">
        <v>-68684124.353510171</v>
      </c>
      <c r="I15" s="30">
        <v>-27304970.900805585</v>
      </c>
      <c r="J15" s="30">
        <v>-9892452.2742425203</v>
      </c>
      <c r="K15" s="30">
        <v>-1269826.2451672701</v>
      </c>
      <c r="L15" s="93">
        <f>SUM(E15:K15)</f>
        <v>-248548992.31718013</v>
      </c>
      <c r="M15" s="31" t="str">
        <f>IF(ABS(L15-D15)&lt;0.01,"ok","err")</f>
        <v>ok</v>
      </c>
    </row>
    <row r="16" spans="1:15" x14ac:dyDescent="0.25">
      <c r="A16" s="32"/>
      <c r="B16" s="33" t="s">
        <v>14</v>
      </c>
      <c r="C16" s="85"/>
      <c r="D16" s="29">
        <f t="shared" ref="D16:L16" si="0">D13+D14+D15</f>
        <v>1062746172.0623608</v>
      </c>
      <c r="E16" s="30">
        <f t="shared" si="0"/>
        <v>485502646.07897037</v>
      </c>
      <c r="F16" s="30">
        <f t="shared" si="0"/>
        <v>18583061.609546062</v>
      </c>
      <c r="G16" s="30">
        <f t="shared" si="0"/>
        <v>107766094.20762597</v>
      </c>
      <c r="H16" s="30">
        <f t="shared" si="0"/>
        <v>288181260.42463803</v>
      </c>
      <c r="I16" s="30">
        <f t="shared" si="0"/>
        <v>115820601.88320938</v>
      </c>
      <c r="J16" s="30">
        <f t="shared" si="0"/>
        <v>41506234.401546851</v>
      </c>
      <c r="K16" s="30">
        <f t="shared" si="0"/>
        <v>5386273.4568242989</v>
      </c>
      <c r="L16" s="93">
        <f t="shared" si="0"/>
        <v>1062746172.0623608</v>
      </c>
      <c r="M16" s="31" t="str">
        <f>IF(ABS(L16-D16)&lt;0.01,"ok","err")</f>
        <v>ok</v>
      </c>
    </row>
    <row r="17" spans="1:13" x14ac:dyDescent="0.25">
      <c r="A17" s="32"/>
      <c r="B17" s="34"/>
      <c r="C17" s="86"/>
      <c r="D17" s="35"/>
      <c r="E17" s="36"/>
      <c r="F17" s="36"/>
      <c r="G17" s="36"/>
      <c r="H17" s="36"/>
      <c r="I17" s="36"/>
      <c r="J17" s="36"/>
      <c r="K17" s="37"/>
      <c r="L17" s="93"/>
      <c r="M17" s="38"/>
    </row>
    <row r="18" spans="1:13" x14ac:dyDescent="0.25">
      <c r="A18" s="32"/>
      <c r="B18" s="28" t="s">
        <v>15</v>
      </c>
      <c r="C18" s="85"/>
      <c r="D18" s="39">
        <v>7.2499999999999995E-2</v>
      </c>
      <c r="E18" s="40">
        <f t="shared" ref="E18:J18" si="1">D18</f>
        <v>7.2499999999999995E-2</v>
      </c>
      <c r="F18" s="40">
        <f t="shared" si="1"/>
        <v>7.2499999999999995E-2</v>
      </c>
      <c r="G18" s="40">
        <f t="shared" si="1"/>
        <v>7.2499999999999995E-2</v>
      </c>
      <c r="H18" s="40">
        <f t="shared" si="1"/>
        <v>7.2499999999999995E-2</v>
      </c>
      <c r="I18" s="40">
        <f t="shared" si="1"/>
        <v>7.2499999999999995E-2</v>
      </c>
      <c r="J18" s="40">
        <f t="shared" si="1"/>
        <v>7.2499999999999995E-2</v>
      </c>
      <c r="K18" s="40">
        <f>I18</f>
        <v>7.2499999999999995E-2</v>
      </c>
      <c r="L18" s="93"/>
      <c r="M18" s="31"/>
    </row>
    <row r="19" spans="1:13" x14ac:dyDescent="0.25">
      <c r="A19" s="41"/>
      <c r="B19" s="28"/>
      <c r="C19" s="86"/>
      <c r="D19" s="35"/>
      <c r="E19" s="36"/>
      <c r="F19" s="36"/>
      <c r="G19" s="36"/>
      <c r="H19" s="36"/>
      <c r="I19" s="36"/>
      <c r="J19" s="36"/>
      <c r="K19" s="37"/>
      <c r="L19" s="93"/>
      <c r="M19" s="38"/>
    </row>
    <row r="20" spans="1:13" x14ac:dyDescent="0.25">
      <c r="A20" s="32"/>
      <c r="B20" s="28" t="s">
        <v>16</v>
      </c>
      <c r="C20" s="85"/>
      <c r="D20" s="29">
        <f>D18*D16</f>
        <v>77049097.474521145</v>
      </c>
      <c r="E20" s="42">
        <f t="shared" ref="E20:K20" si="2">E18*E16</f>
        <v>35198941.840725347</v>
      </c>
      <c r="F20" s="42">
        <f t="shared" si="2"/>
        <v>1347271.9666920893</v>
      </c>
      <c r="G20" s="42">
        <f t="shared" si="2"/>
        <v>7813041.8300528824</v>
      </c>
      <c r="H20" s="42">
        <f t="shared" si="2"/>
        <v>20893141.380786255</v>
      </c>
      <c r="I20" s="42">
        <f t="shared" si="2"/>
        <v>8396993.6365326792</v>
      </c>
      <c r="J20" s="42">
        <f t="shared" si="2"/>
        <v>3009201.9941121466</v>
      </c>
      <c r="K20" s="43">
        <f t="shared" si="2"/>
        <v>390504.82561976166</v>
      </c>
      <c r="L20" s="94">
        <f>SUM(E20:K20)</f>
        <v>77049097.47452116</v>
      </c>
      <c r="M20" s="31" t="str">
        <f>IF(ABS(L20-D20)&lt;0.01,"ok","err")</f>
        <v>ok</v>
      </c>
    </row>
    <row r="21" spans="1:13" x14ac:dyDescent="0.25">
      <c r="A21" s="41"/>
      <c r="B21" s="28"/>
      <c r="C21" s="86"/>
      <c r="D21" s="35"/>
      <c r="E21" s="36"/>
      <c r="F21" s="36"/>
      <c r="G21" s="36"/>
      <c r="H21" s="36"/>
      <c r="I21" s="36"/>
      <c r="J21" s="36"/>
      <c r="K21" s="37"/>
      <c r="L21" s="94"/>
      <c r="M21" s="38"/>
    </row>
    <row r="22" spans="1:13" x14ac:dyDescent="0.25">
      <c r="A22" s="32"/>
      <c r="B22" s="28" t="s">
        <v>17</v>
      </c>
      <c r="C22" s="85"/>
      <c r="D22" s="29">
        <v>27845187.817616064</v>
      </c>
      <c r="E22" s="42">
        <f t="shared" ref="E22:K22" si="3">(E13/$D$13)*$D$22</f>
        <v>12966357.478326708</v>
      </c>
      <c r="F22" s="42">
        <f t="shared" si="3"/>
        <v>0</v>
      </c>
      <c r="G22" s="42">
        <f t="shared" si="3"/>
        <v>2878117.5814885786</v>
      </c>
      <c r="H22" s="42">
        <f t="shared" si="3"/>
        <v>7696479.6616429305</v>
      </c>
      <c r="I22" s="42">
        <f t="shared" si="3"/>
        <v>3053709.1175306723</v>
      </c>
      <c r="J22" s="42">
        <f t="shared" si="3"/>
        <v>1108510.2772892795</v>
      </c>
      <c r="K22" s="43">
        <f t="shared" si="3"/>
        <v>142013.70133789914</v>
      </c>
      <c r="L22" s="94">
        <f>SUM(E22:K22)</f>
        <v>27845187.817616072</v>
      </c>
      <c r="M22" s="31" t="str">
        <f>IF(ABS(L22-D22)&lt;0.01,"ok","err")</f>
        <v>ok</v>
      </c>
    </row>
    <row r="23" spans="1:13" x14ac:dyDescent="0.25">
      <c r="A23" s="41"/>
      <c r="B23" s="28"/>
      <c r="C23" s="86"/>
      <c r="D23" s="35"/>
      <c r="E23" s="36"/>
      <c r="F23" s="36"/>
      <c r="G23" s="36"/>
      <c r="H23" s="36"/>
      <c r="I23" s="36"/>
      <c r="J23" s="36"/>
      <c r="K23" s="37"/>
      <c r="L23" s="94"/>
      <c r="M23" s="38"/>
    </row>
    <row r="24" spans="1:13" x14ac:dyDescent="0.25">
      <c r="A24" s="32"/>
      <c r="B24" s="28" t="s">
        <v>18</v>
      </c>
      <c r="C24" s="85"/>
      <c r="D24" s="29">
        <f>D20-D22</f>
        <v>49203909.656905085</v>
      </c>
      <c r="E24" s="42">
        <f t="shared" ref="E24:K24" si="4">E20-E22</f>
        <v>22232584.362398639</v>
      </c>
      <c r="F24" s="42">
        <f t="shared" si="4"/>
        <v>1347271.9666920893</v>
      </c>
      <c r="G24" s="42">
        <f t="shared" si="4"/>
        <v>4934924.2485643039</v>
      </c>
      <c r="H24" s="42">
        <f t="shared" si="4"/>
        <v>13196661.719143324</v>
      </c>
      <c r="I24" s="42">
        <f t="shared" si="4"/>
        <v>5343284.5190020073</v>
      </c>
      <c r="J24" s="42">
        <f t="shared" si="4"/>
        <v>1900691.716822867</v>
      </c>
      <c r="K24" s="43">
        <f t="shared" si="4"/>
        <v>248491.12428186252</v>
      </c>
      <c r="L24" s="94">
        <f>SUM(E24:K24)</f>
        <v>49203909.656905092</v>
      </c>
      <c r="M24" s="31" t="str">
        <f>IF(ABS(L24-D24)&lt;0.01,"ok","err")</f>
        <v>ok</v>
      </c>
    </row>
    <row r="25" spans="1:13" x14ac:dyDescent="0.25">
      <c r="A25" s="41"/>
      <c r="B25" s="28"/>
      <c r="C25" s="86"/>
      <c r="D25" s="35"/>
      <c r="E25" s="36"/>
      <c r="F25" s="36"/>
      <c r="G25" s="36"/>
      <c r="H25" s="36"/>
      <c r="I25" s="36"/>
      <c r="J25" s="36"/>
      <c r="K25" s="37"/>
      <c r="L25" s="94"/>
      <c r="M25" s="38"/>
    </row>
    <row r="26" spans="1:13" x14ac:dyDescent="0.25">
      <c r="A26" s="32"/>
      <c r="B26" s="28" t="s">
        <v>19</v>
      </c>
      <c r="C26" s="86"/>
      <c r="D26" s="29">
        <v>23599168.72837396</v>
      </c>
      <c r="E26" s="42">
        <f t="shared" ref="E26:K26" si="5">$D$26*(E24/$L$24)</f>
        <v>10663187.403085226</v>
      </c>
      <c r="F26" s="42">
        <f t="shared" si="5"/>
        <v>646178.29531586659</v>
      </c>
      <c r="G26" s="42">
        <f t="shared" si="5"/>
        <v>2366887.3228912107</v>
      </c>
      <c r="H26" s="42">
        <f t="shared" si="5"/>
        <v>6329380.0987140033</v>
      </c>
      <c r="I26" s="42">
        <f t="shared" si="5"/>
        <v>2562744.9893088094</v>
      </c>
      <c r="J26" s="42">
        <f t="shared" si="5"/>
        <v>911609.35866060539</v>
      </c>
      <c r="K26" s="43">
        <f t="shared" si="5"/>
        <v>119181.26039823869</v>
      </c>
      <c r="L26" s="94">
        <f>SUM(E26:K26)</f>
        <v>23599168.72837396</v>
      </c>
      <c r="M26" s="31" t="str">
        <f>IF(ABS(L26-D26)&lt;0.01,"ok","err")</f>
        <v>ok</v>
      </c>
    </row>
    <row r="27" spans="1:13" x14ac:dyDescent="0.25">
      <c r="A27" s="41"/>
      <c r="B27" s="28"/>
      <c r="C27" s="86"/>
      <c r="D27" s="35"/>
      <c r="E27" s="36"/>
      <c r="F27" s="36"/>
      <c r="G27" s="36"/>
      <c r="H27" s="36"/>
      <c r="I27" s="36"/>
      <c r="J27" s="36"/>
      <c r="K27" s="37"/>
      <c r="L27" s="94"/>
      <c r="M27" s="38"/>
    </row>
    <row r="28" spans="1:13" x14ac:dyDescent="0.25">
      <c r="A28" s="32"/>
      <c r="B28" s="28" t="s">
        <v>20</v>
      </c>
      <c r="C28" s="85"/>
      <c r="D28" s="29"/>
      <c r="E28" s="43"/>
      <c r="F28" s="43"/>
      <c r="G28" s="43"/>
      <c r="H28" s="43"/>
      <c r="I28" s="43"/>
      <c r="J28" s="43"/>
      <c r="K28" s="43"/>
      <c r="L28" s="93"/>
      <c r="M28" s="31"/>
    </row>
    <row r="29" spans="1:13" x14ac:dyDescent="0.25">
      <c r="A29" s="32"/>
      <c r="B29" s="28" t="s">
        <v>53</v>
      </c>
      <c r="C29" s="85"/>
      <c r="D29" s="29">
        <v>186732550.11988562</v>
      </c>
      <c r="E29" s="43">
        <v>25653115.589420643</v>
      </c>
      <c r="F29" s="43">
        <v>161079434.53046498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93">
        <f>SUM(E29:K29)</f>
        <v>186732550.11988562</v>
      </c>
      <c r="M29" s="31" t="str">
        <f t="shared" ref="M29:M33" si="6">IF(ABS(L29-D29)&lt;0.01,"ok","err")</f>
        <v>ok</v>
      </c>
    </row>
    <row r="30" spans="1:13" x14ac:dyDescent="0.25">
      <c r="A30" s="32"/>
      <c r="B30" s="28" t="s">
        <v>54</v>
      </c>
      <c r="C30" s="85"/>
      <c r="D30" s="29">
        <v>7336626.2187205637</v>
      </c>
      <c r="E30" s="43">
        <v>0</v>
      </c>
      <c r="F30" s="43">
        <v>0</v>
      </c>
      <c r="G30" s="43">
        <f>D30</f>
        <v>7336626.2187205637</v>
      </c>
      <c r="H30" s="43">
        <v>0</v>
      </c>
      <c r="I30" s="43">
        <v>0</v>
      </c>
      <c r="J30" s="43">
        <v>0</v>
      </c>
      <c r="K30" s="43">
        <v>0</v>
      </c>
      <c r="L30" s="93">
        <f t="shared" ref="L30:L33" si="7">SUM(E30:K30)</f>
        <v>7336626.2187205637</v>
      </c>
      <c r="M30" s="31" t="str">
        <f t="shared" si="6"/>
        <v>ok</v>
      </c>
    </row>
    <row r="31" spans="1:13" x14ac:dyDescent="0.25">
      <c r="A31" s="32"/>
      <c r="B31" s="28" t="s">
        <v>55</v>
      </c>
      <c r="C31" s="85"/>
      <c r="D31" s="29">
        <v>31675182.46808935</v>
      </c>
      <c r="E31" s="43">
        <v>0</v>
      </c>
      <c r="F31" s="43">
        <v>0</v>
      </c>
      <c r="G31" s="43">
        <v>0</v>
      </c>
      <c r="H31" s="43">
        <v>18931616.444264442</v>
      </c>
      <c r="I31" s="43">
        <v>12743566.023824908</v>
      </c>
      <c r="J31" s="43">
        <v>0</v>
      </c>
      <c r="K31" s="43">
        <v>0</v>
      </c>
      <c r="L31" s="93">
        <f t="shared" si="7"/>
        <v>31675182.46808935</v>
      </c>
      <c r="M31" s="31" t="str">
        <f t="shared" si="6"/>
        <v>ok</v>
      </c>
    </row>
    <row r="32" spans="1:13" x14ac:dyDescent="0.25">
      <c r="A32" s="32"/>
      <c r="B32" s="28" t="s">
        <v>57</v>
      </c>
      <c r="C32" s="85"/>
      <c r="D32" s="29">
        <v>12461543.496886522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f>D32</f>
        <v>12461543.496886522</v>
      </c>
      <c r="L32" s="93">
        <f t="shared" ref="L32" si="8">SUM(E32:K32)</f>
        <v>12461543.496886522</v>
      </c>
      <c r="M32" s="31" t="str">
        <f t="shared" ref="M32" si="9">IF(ABS(L32-D32)&lt;0.01,"ok","err")</f>
        <v>ok</v>
      </c>
    </row>
    <row r="33" spans="1:13" x14ac:dyDescent="0.25">
      <c r="A33" s="32"/>
      <c r="B33" s="28" t="s">
        <v>56</v>
      </c>
      <c r="C33" s="85"/>
      <c r="D33" s="29">
        <v>41669044.981939256</v>
      </c>
      <c r="E33" s="43">
        <v>11452490.588932415</v>
      </c>
      <c r="F33" s="43">
        <v>7343067.8470737888</v>
      </c>
      <c r="G33" s="43">
        <v>2542087.4421312441</v>
      </c>
      <c r="H33" s="43">
        <v>6797889.1558564575</v>
      </c>
      <c r="I33" s="43">
        <v>11996520.127738934</v>
      </c>
      <c r="J33" s="43">
        <v>979087.8849060263</v>
      </c>
      <c r="K33" s="43">
        <v>557901.9353003914</v>
      </c>
      <c r="L33" s="93">
        <f t="shared" si="7"/>
        <v>41669044.981939256</v>
      </c>
      <c r="M33" s="31" t="str">
        <f t="shared" si="6"/>
        <v>ok</v>
      </c>
    </row>
    <row r="34" spans="1:13" x14ac:dyDescent="0.25">
      <c r="A34" s="32"/>
      <c r="B34" s="28"/>
      <c r="C34" s="85"/>
      <c r="D34" s="29"/>
      <c r="E34" s="43"/>
      <c r="F34" s="43"/>
      <c r="G34" s="43"/>
      <c r="H34" s="43"/>
      <c r="I34" s="43"/>
      <c r="J34" s="43"/>
      <c r="K34" s="43"/>
      <c r="L34" s="93"/>
      <c r="M34" s="31"/>
    </row>
    <row r="35" spans="1:13" x14ac:dyDescent="0.25">
      <c r="A35" s="32"/>
      <c r="B35" s="28" t="s">
        <v>21</v>
      </c>
      <c r="C35" s="85"/>
      <c r="D35" s="44">
        <v>61784597.342894815</v>
      </c>
      <c r="E35" s="45">
        <v>28157161.671300389</v>
      </c>
      <c r="F35" s="45">
        <v>0</v>
      </c>
      <c r="G35" s="45">
        <v>4271947.1331594102</v>
      </c>
      <c r="H35" s="45">
        <v>14585681.681040863</v>
      </c>
      <c r="I35" s="45">
        <v>5787117.1097575212</v>
      </c>
      <c r="J35" s="45">
        <v>7962585.3427356537</v>
      </c>
      <c r="K35" s="45">
        <v>1020104.4049009744</v>
      </c>
      <c r="L35" s="93">
        <f>SUM(E35:K35)</f>
        <v>61784597.342894815</v>
      </c>
      <c r="M35" s="31" t="str">
        <f>IF(ABS(L35-D35)&lt;0.01,"ok","err")</f>
        <v>ok</v>
      </c>
    </row>
    <row r="36" spans="1:13" x14ac:dyDescent="0.25">
      <c r="A36" s="32"/>
      <c r="B36" s="28" t="s">
        <v>22</v>
      </c>
      <c r="C36" s="85"/>
      <c r="D36" s="44">
        <v>14565793.434331819</v>
      </c>
      <c r="E36" s="45">
        <v>6792842.3345052451</v>
      </c>
      <c r="F36" s="45">
        <v>0</v>
      </c>
      <c r="G36" s="45">
        <v>1507794.2270138958</v>
      </c>
      <c r="H36" s="45">
        <v>4032047.7790045864</v>
      </c>
      <c r="I36" s="45">
        <v>1578950.8196543851</v>
      </c>
      <c r="J36" s="45">
        <v>580728.67051452701</v>
      </c>
      <c r="K36" s="45">
        <v>73429.603639180481</v>
      </c>
      <c r="L36" s="93">
        <f>SUM(E36:K36)</f>
        <v>14565793.434331819</v>
      </c>
      <c r="M36" s="31" t="str">
        <f>IF(ABS(L36-D36)&lt;0.01,"ok","err")</f>
        <v>ok</v>
      </c>
    </row>
    <row r="37" spans="1:13" x14ac:dyDescent="0.25">
      <c r="A37" s="32"/>
      <c r="B37" s="28" t="s">
        <v>23</v>
      </c>
      <c r="C37" s="85"/>
      <c r="D37" s="46">
        <v>0</v>
      </c>
      <c r="E37" s="47">
        <f>$D$37*(E13/$L$13)</f>
        <v>0</v>
      </c>
      <c r="F37" s="47">
        <f>$D$37*(F13/$L$13)</f>
        <v>0</v>
      </c>
      <c r="G37" s="47">
        <f>$D$37*(G13/$L$13)</f>
        <v>0</v>
      </c>
      <c r="H37" s="47">
        <f>$D$37*(H13/$L$13)</f>
        <v>0</v>
      </c>
      <c r="I37" s="47">
        <f>$D$37*(I13/$L$13)</f>
        <v>0</v>
      </c>
      <c r="J37" s="47"/>
      <c r="K37" s="47">
        <f>$D$37*(K13/$L$13)</f>
        <v>0</v>
      </c>
      <c r="L37" s="93">
        <f>SUM(E37:K37)</f>
        <v>0</v>
      </c>
      <c r="M37" s="31" t="str">
        <f>IF(ABS(L37-D37)&lt;0.01,"ok","err")</f>
        <v>ok</v>
      </c>
    </row>
    <row r="38" spans="1:13" x14ac:dyDescent="0.25">
      <c r="A38" s="32"/>
      <c r="B38" s="28" t="s">
        <v>24</v>
      </c>
      <c r="C38" s="85"/>
      <c r="D38" s="46">
        <v>0</v>
      </c>
      <c r="E38" s="47">
        <f>D38</f>
        <v>0</v>
      </c>
      <c r="F38" s="47">
        <v>0</v>
      </c>
      <c r="G38" s="47">
        <v>0</v>
      </c>
      <c r="H38" s="47">
        <v>0</v>
      </c>
      <c r="I38" s="47">
        <v>0</v>
      </c>
      <c r="J38" s="47"/>
      <c r="K38" s="47">
        <v>0</v>
      </c>
      <c r="L38" s="93">
        <f>SUM(E38:K38)</f>
        <v>0</v>
      </c>
      <c r="M38" s="31" t="str">
        <f t="shared" ref="M38:M45" si="10">IF(ABS(L38-D38)&lt;0.01,"ok","err")</f>
        <v>ok</v>
      </c>
    </row>
    <row r="39" spans="1:13" x14ac:dyDescent="0.25">
      <c r="A39" s="32"/>
      <c r="B39" s="28" t="s">
        <v>25</v>
      </c>
      <c r="C39" s="85"/>
      <c r="D39" s="46">
        <v>0</v>
      </c>
      <c r="E39" s="47">
        <v>0</v>
      </c>
      <c r="F39" s="47">
        <f>D39</f>
        <v>0</v>
      </c>
      <c r="G39" s="47">
        <v>0</v>
      </c>
      <c r="H39" s="47">
        <v>0</v>
      </c>
      <c r="I39" s="47">
        <v>0</v>
      </c>
      <c r="J39" s="47"/>
      <c r="K39" s="47">
        <v>0</v>
      </c>
      <c r="L39" s="93">
        <f t="shared" ref="L39:L45" si="11">SUM(E39:K39)</f>
        <v>0</v>
      </c>
      <c r="M39" s="31" t="str">
        <f t="shared" si="10"/>
        <v>ok</v>
      </c>
    </row>
    <row r="40" spans="1:13" x14ac:dyDescent="0.25">
      <c r="A40" s="32"/>
      <c r="B40" s="28" t="s">
        <v>26</v>
      </c>
      <c r="C40" s="85"/>
      <c r="D40" s="46">
        <v>0</v>
      </c>
      <c r="E40" s="47">
        <v>0</v>
      </c>
      <c r="F40" s="47">
        <v>0</v>
      </c>
      <c r="G40" s="47">
        <f>D40</f>
        <v>0</v>
      </c>
      <c r="H40" s="47">
        <v>0</v>
      </c>
      <c r="I40" s="47">
        <v>0</v>
      </c>
      <c r="J40" s="47"/>
      <c r="K40" s="47">
        <v>0</v>
      </c>
      <c r="L40" s="93">
        <f t="shared" si="11"/>
        <v>0</v>
      </c>
      <c r="M40" s="31" t="str">
        <f t="shared" si="10"/>
        <v>ok</v>
      </c>
    </row>
    <row r="41" spans="1:13" x14ac:dyDescent="0.25">
      <c r="A41" s="32"/>
      <c r="B41" s="28" t="s">
        <v>27</v>
      </c>
      <c r="C41" s="85"/>
      <c r="D41" s="46">
        <v>0</v>
      </c>
      <c r="E41" s="47">
        <v>0</v>
      </c>
      <c r="F41" s="47">
        <v>0</v>
      </c>
      <c r="G41" s="47">
        <v>0</v>
      </c>
      <c r="H41" s="47">
        <f>(H13/($I$13+$H$13)*$D$41)</f>
        <v>0</v>
      </c>
      <c r="I41" s="47">
        <f>(I13/($I$13+$H$13)*$D$41)</f>
        <v>0</v>
      </c>
      <c r="J41" s="47"/>
      <c r="K41" s="47">
        <v>0</v>
      </c>
      <c r="L41" s="93">
        <f t="shared" si="11"/>
        <v>0</v>
      </c>
      <c r="M41" s="31" t="str">
        <f t="shared" si="10"/>
        <v>ok</v>
      </c>
    </row>
    <row r="42" spans="1:13" x14ac:dyDescent="0.25">
      <c r="A42" s="48"/>
      <c r="B42" s="28" t="s">
        <v>28</v>
      </c>
      <c r="C42" s="85"/>
      <c r="D42" s="44">
        <v>-1182755.4537769286</v>
      </c>
      <c r="E42" s="47">
        <f t="shared" ref="E42:K42" si="12">(E13/($D$13)*$D$42)</f>
        <v>-550760.51645124634</v>
      </c>
      <c r="F42" s="47">
        <f t="shared" si="12"/>
        <v>0</v>
      </c>
      <c r="G42" s="47">
        <f t="shared" si="12"/>
        <v>-122251.258939733</v>
      </c>
      <c r="H42" s="47">
        <f t="shared" si="12"/>
        <v>-326916.5700844152</v>
      </c>
      <c r="I42" s="47">
        <f t="shared" si="12"/>
        <v>-129709.70555719362</v>
      </c>
      <c r="J42" s="47">
        <f t="shared" si="12"/>
        <v>-47085.212160149786</v>
      </c>
      <c r="K42" s="47">
        <f t="shared" si="12"/>
        <v>-6032.1905841908037</v>
      </c>
      <c r="L42" s="93">
        <f t="shared" si="11"/>
        <v>-1182755.4537769288</v>
      </c>
      <c r="M42" s="31" t="str">
        <f t="shared" si="10"/>
        <v>ok</v>
      </c>
    </row>
    <row r="43" spans="1:13" x14ac:dyDescent="0.25">
      <c r="A43" s="48"/>
      <c r="B43" s="28" t="s">
        <v>29</v>
      </c>
      <c r="C43" s="49"/>
      <c r="D43" s="44">
        <v>3297836.5637638657</v>
      </c>
      <c r="E43" s="47">
        <f>D43</f>
        <v>3297836.5637638657</v>
      </c>
      <c r="F43" s="47">
        <v>0</v>
      </c>
      <c r="G43" s="47">
        <v>0</v>
      </c>
      <c r="H43" s="47">
        <v>0</v>
      </c>
      <c r="I43" s="47">
        <v>0</v>
      </c>
      <c r="J43" s="47"/>
      <c r="K43" s="47">
        <v>0</v>
      </c>
      <c r="L43" s="93">
        <f t="shared" si="11"/>
        <v>3297836.5637638657</v>
      </c>
      <c r="M43" s="31" t="str">
        <f t="shared" si="10"/>
        <v>ok</v>
      </c>
    </row>
    <row r="44" spans="1:13" x14ac:dyDescent="0.25">
      <c r="A44" s="32"/>
      <c r="B44" s="28"/>
      <c r="D44" s="29"/>
      <c r="E44" s="42"/>
      <c r="F44" s="42"/>
      <c r="G44" s="42"/>
      <c r="H44" s="42"/>
      <c r="I44" s="42"/>
      <c r="J44" s="42"/>
      <c r="K44" s="42"/>
      <c r="L44" s="93"/>
      <c r="M44" s="31"/>
    </row>
    <row r="45" spans="1:13" s="50" customFormat="1" x14ac:dyDescent="0.25">
      <c r="A45" s="32"/>
      <c r="B45" s="28" t="s">
        <v>30</v>
      </c>
      <c r="C45" s="85"/>
      <c r="D45" s="29">
        <f t="shared" ref="D45:K45" si="13">SUM(D38:D43)</f>
        <v>2115081.1099869371</v>
      </c>
      <c r="E45" s="30">
        <f t="shared" si="13"/>
        <v>2747076.0473126192</v>
      </c>
      <c r="F45" s="30">
        <f t="shared" si="13"/>
        <v>0</v>
      </c>
      <c r="G45" s="30">
        <f t="shared" si="13"/>
        <v>-122251.258939733</v>
      </c>
      <c r="H45" s="30">
        <f t="shared" si="13"/>
        <v>-326916.5700844152</v>
      </c>
      <c r="I45" s="30">
        <f t="shared" si="13"/>
        <v>-129709.70555719362</v>
      </c>
      <c r="J45" s="30">
        <f t="shared" si="13"/>
        <v>-47085.212160149786</v>
      </c>
      <c r="K45" s="30">
        <f t="shared" si="13"/>
        <v>-6032.1905841908037</v>
      </c>
      <c r="L45" s="93">
        <f t="shared" si="11"/>
        <v>2115081.1099869371</v>
      </c>
      <c r="M45" s="31" t="str">
        <f t="shared" si="10"/>
        <v>ok</v>
      </c>
    </row>
    <row r="46" spans="1:13" x14ac:dyDescent="0.25">
      <c r="A46" s="41"/>
      <c r="B46" s="28"/>
      <c r="C46" s="86"/>
      <c r="D46" s="51"/>
      <c r="E46" s="36"/>
      <c r="F46" s="36"/>
      <c r="G46" s="36"/>
      <c r="H46" s="36"/>
      <c r="I46" s="36"/>
      <c r="J46" s="36"/>
      <c r="K46" s="36"/>
      <c r="L46" s="93"/>
      <c r="M46" s="38"/>
    </row>
    <row r="47" spans="1:13" s="50" customFormat="1" x14ac:dyDescent="0.25">
      <c r="A47" s="32"/>
      <c r="B47" s="28" t="s">
        <v>31</v>
      </c>
      <c r="C47" s="87"/>
      <c r="D47" s="29">
        <f>SUM(D29:D37)+D22+D26+D45+D24</f>
        <v>458988685.3756299</v>
      </c>
      <c r="E47" s="43">
        <f t="shared" ref="E47:K47" si="14">SUM(E28:E37)+E22+E26+E45+E24</f>
        <v>120664815.47528188</v>
      </c>
      <c r="F47" s="43">
        <f t="shared" si="14"/>
        <v>170415952.63954672</v>
      </c>
      <c r="G47" s="43">
        <f t="shared" si="14"/>
        <v>25716132.915029474</v>
      </c>
      <c r="H47" s="43">
        <f t="shared" si="14"/>
        <v>71242839.9695822</v>
      </c>
      <c r="I47" s="43">
        <f t="shared" si="14"/>
        <v>42936183.001260042</v>
      </c>
      <c r="J47" s="43">
        <f t="shared" si="14"/>
        <v>13396128.038768807</v>
      </c>
      <c r="K47" s="43">
        <f t="shared" si="14"/>
        <v>14616633.336160878</v>
      </c>
      <c r="L47" s="93">
        <f>SUM(E47:K47)</f>
        <v>458988685.37563002</v>
      </c>
      <c r="M47" s="31" t="str">
        <f>IF(ABS(L47-D47)&lt;0.01,"ok","err")</f>
        <v>ok</v>
      </c>
    </row>
    <row r="48" spans="1:13" x14ac:dyDescent="0.25">
      <c r="A48" s="41"/>
      <c r="B48" s="28"/>
      <c r="C48" s="86"/>
      <c r="D48" s="52"/>
      <c r="E48" s="36"/>
      <c r="F48" s="36"/>
      <c r="G48" s="36"/>
      <c r="H48" s="36"/>
      <c r="I48" s="36"/>
      <c r="J48" s="36"/>
      <c r="K48" s="36"/>
      <c r="L48" s="93"/>
      <c r="M48" s="38"/>
    </row>
    <row r="49" spans="1:13" x14ac:dyDescent="0.25">
      <c r="A49" s="32"/>
      <c r="B49" s="28" t="s">
        <v>32</v>
      </c>
      <c r="C49" s="86"/>
      <c r="D49" s="29">
        <v>1781296.6654647228</v>
      </c>
      <c r="E49" s="53">
        <f>D49</f>
        <v>1781296.6654647228</v>
      </c>
      <c r="F49" s="53"/>
      <c r="G49" s="53"/>
      <c r="H49" s="53"/>
      <c r="I49" s="53"/>
      <c r="J49" s="53"/>
      <c r="K49" s="53"/>
      <c r="L49" s="93">
        <f>SUM(E49:K49)</f>
        <v>1781296.6654647228</v>
      </c>
      <c r="M49" s="31" t="str">
        <f>IF(ABS(L49-D49)&lt;0.01,"ok","err")</f>
        <v>ok</v>
      </c>
    </row>
    <row r="50" spans="1:13" x14ac:dyDescent="0.25">
      <c r="A50" s="32"/>
      <c r="B50" s="28" t="s">
        <v>33</v>
      </c>
      <c r="C50" s="85"/>
      <c r="D50" s="44">
        <v>-15545980.081055883</v>
      </c>
      <c r="E50" s="45">
        <v>0</v>
      </c>
      <c r="F50" s="45">
        <f>D50</f>
        <v>-15545980.081055883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93">
        <f>SUM(E50:K50)</f>
        <v>-15545980.081055883</v>
      </c>
      <c r="M50" s="31" t="str">
        <f>IF(ABS(L50-D50)&lt;0.01,"ok","err")</f>
        <v>ok</v>
      </c>
    </row>
    <row r="51" spans="1:13" x14ac:dyDescent="0.25">
      <c r="A51" s="32"/>
      <c r="B51" s="28" t="s">
        <v>34</v>
      </c>
      <c r="C51" s="85"/>
      <c r="D51" s="54">
        <v>-12449149.924207626</v>
      </c>
      <c r="E51" s="45">
        <f>(E16/($E$16+$G$16+$H$16+$I$16+$J$16+$K$16))*$D$51</f>
        <v>-5788458.8807351338</v>
      </c>
      <c r="F51" s="45">
        <v>0</v>
      </c>
      <c r="G51" s="45">
        <f>(G16/($E$16+$G$16+$H$16+$I$16+$J$16+$K$16))*$D$51</f>
        <v>-1284853.151875111</v>
      </c>
      <c r="H51" s="45">
        <f>(H16/($E$16+$G$16+$H$16+$I$16+$J$16+$K$16))*$D$51</f>
        <v>-3435872.8827506904</v>
      </c>
      <c r="I51" s="45">
        <f>(I16/($E$16+$G$16+$H$16+$I$16+$J$16+$K$16))*$D$51</f>
        <v>-1380883.9085789507</v>
      </c>
      <c r="J51" s="45">
        <f>(J16/($E$16+$G$16+$H$16+$I$16+$J$16+$K$16))*$D$51</f>
        <v>-494862.66051869979</v>
      </c>
      <c r="K51" s="45">
        <f>(K16/($E$16+$G$16+$H$16+$I$16+$J$16+$K$16))*$D$51</f>
        <v>-64218.439749041419</v>
      </c>
      <c r="L51" s="93">
        <f>SUM(E51:K51)</f>
        <v>-12449149.924207628</v>
      </c>
      <c r="M51" s="31" t="str">
        <f>IF(ABS(L51-D51)&lt;0.01,"ok","err")</f>
        <v>ok</v>
      </c>
    </row>
    <row r="52" spans="1:13" x14ac:dyDescent="0.25">
      <c r="A52" s="32"/>
      <c r="B52" s="28" t="s">
        <v>35</v>
      </c>
      <c r="C52" s="85"/>
      <c r="D52" s="54">
        <f>SUM(D49:D51)</f>
        <v>-26213833.339798786</v>
      </c>
      <c r="E52" s="55">
        <f>SUM(E49:E51)</f>
        <v>-4007162.2152704112</v>
      </c>
      <c r="F52" s="55">
        <f t="shared" ref="F52:K52" si="15">SUM(F50:F51)</f>
        <v>-15545980.081055883</v>
      </c>
      <c r="G52" s="55">
        <f t="shared" si="15"/>
        <v>-1284853.151875111</v>
      </c>
      <c r="H52" s="55">
        <f t="shared" si="15"/>
        <v>-3435872.8827506904</v>
      </c>
      <c r="I52" s="55">
        <f t="shared" si="15"/>
        <v>-1380883.9085789507</v>
      </c>
      <c r="J52" s="55">
        <f t="shared" si="15"/>
        <v>-494862.66051869979</v>
      </c>
      <c r="K52" s="55">
        <f t="shared" si="15"/>
        <v>-64218.439749041419</v>
      </c>
      <c r="L52" s="93">
        <f>SUM(E52:K52)</f>
        <v>-26213833.339798786</v>
      </c>
      <c r="M52" s="31" t="str">
        <f>IF(ABS(L52-D52)&lt;0.01,"ok","err")</f>
        <v>ok</v>
      </c>
    </row>
    <row r="53" spans="1:13" x14ac:dyDescent="0.25">
      <c r="A53" s="41"/>
      <c r="B53" s="28"/>
      <c r="D53" s="56"/>
      <c r="E53" s="36"/>
      <c r="F53" s="36"/>
      <c r="G53" s="36"/>
      <c r="H53" s="36"/>
      <c r="I53" s="36"/>
      <c r="J53" s="36"/>
      <c r="K53" s="36"/>
      <c r="L53" s="93"/>
      <c r="M53" s="38"/>
    </row>
    <row r="54" spans="1:13" x14ac:dyDescent="0.25">
      <c r="A54" s="32"/>
      <c r="B54" s="28" t="s">
        <v>36</v>
      </c>
      <c r="C54" s="57"/>
      <c r="D54" s="29">
        <f t="shared" ref="D54:K54" si="16">D47+D52</f>
        <v>432774852.03583109</v>
      </c>
      <c r="E54" s="30">
        <f t="shared" si="16"/>
        <v>116657653.26001146</v>
      </c>
      <c r="F54" s="30">
        <f t="shared" si="16"/>
        <v>154869972.55849084</v>
      </c>
      <c r="G54" s="30">
        <f t="shared" si="16"/>
        <v>24431279.763154361</v>
      </c>
      <c r="H54" s="30">
        <f t="shared" si="16"/>
        <v>67806967.08683151</v>
      </c>
      <c r="I54" s="30">
        <f t="shared" si="16"/>
        <v>41555299.092681095</v>
      </c>
      <c r="J54" s="30">
        <f t="shared" si="16"/>
        <v>12901265.378250107</v>
      </c>
      <c r="K54" s="30">
        <f t="shared" si="16"/>
        <v>14552414.896411836</v>
      </c>
      <c r="L54" s="93">
        <f>SUM(E54:K54)</f>
        <v>432774852.03583127</v>
      </c>
      <c r="M54" s="31" t="str">
        <f>IF(ABS(L54-D54)&lt;0.01,"ok","err")</f>
        <v>ok</v>
      </c>
    </row>
    <row r="55" spans="1:13" x14ac:dyDescent="0.25">
      <c r="A55" s="41"/>
      <c r="B55" s="28"/>
      <c r="C55" s="86"/>
      <c r="D55" s="58"/>
      <c r="E55" s="36"/>
      <c r="F55" s="36"/>
      <c r="G55" s="36"/>
      <c r="H55" s="36"/>
      <c r="I55" s="36"/>
      <c r="J55" s="36"/>
      <c r="K55" s="36"/>
      <c r="L55" s="93"/>
      <c r="M55" s="38"/>
    </row>
    <row r="56" spans="1:13" x14ac:dyDescent="0.25">
      <c r="A56" s="32"/>
      <c r="B56" s="28" t="s">
        <v>37</v>
      </c>
      <c r="C56" s="91"/>
      <c r="D56" s="59"/>
      <c r="E56" s="60">
        <v>4180088831</v>
      </c>
      <c r="F56" s="60">
        <v>4180088831</v>
      </c>
      <c r="G56" s="60">
        <v>4180088831</v>
      </c>
      <c r="H56" s="60">
        <v>4180088831</v>
      </c>
      <c r="I56" s="60">
        <v>4369310</v>
      </c>
      <c r="J56" s="60">
        <f>H56</f>
        <v>4180088831</v>
      </c>
      <c r="K56" s="60">
        <v>4369310</v>
      </c>
      <c r="L56" s="16"/>
      <c r="M56" s="38"/>
    </row>
    <row r="57" spans="1:13" ht="15.75" thickBot="1" x14ac:dyDescent="0.3">
      <c r="A57" s="41"/>
      <c r="B57" s="28"/>
      <c r="C57" s="86"/>
      <c r="D57" s="56"/>
      <c r="E57" s="37"/>
      <c r="F57" s="37"/>
      <c r="G57" s="37"/>
      <c r="H57" s="37"/>
      <c r="I57" s="37"/>
      <c r="J57" s="37"/>
      <c r="K57" s="37"/>
      <c r="L57" s="95"/>
      <c r="M57" s="38"/>
    </row>
    <row r="58" spans="1:13" ht="15.75" thickBot="1" x14ac:dyDescent="0.3">
      <c r="A58" s="61"/>
      <c r="B58" s="62" t="s">
        <v>38</v>
      </c>
      <c r="C58" s="88"/>
      <c r="D58" s="63"/>
      <c r="E58" s="64">
        <f t="shared" ref="E58:K58" si="17">E54/E56</f>
        <v>2.790793640433319E-2</v>
      </c>
      <c r="F58" s="64">
        <f t="shared" si="17"/>
        <v>3.7049445315601441E-2</v>
      </c>
      <c r="G58" s="64">
        <f t="shared" si="17"/>
        <v>5.8446795632593491E-3</v>
      </c>
      <c r="H58" s="64">
        <f t="shared" si="17"/>
        <v>1.6221417732553329E-2</v>
      </c>
      <c r="I58" s="65">
        <f t="shared" si="17"/>
        <v>9.5107234535157943</v>
      </c>
      <c r="J58" s="64">
        <f t="shared" si="17"/>
        <v>3.0863615343704898E-3</v>
      </c>
      <c r="K58" s="90">
        <f t="shared" si="17"/>
        <v>3.3305979425611447</v>
      </c>
      <c r="L58" s="89">
        <f>I58+K58</f>
        <v>12.841321396076939</v>
      </c>
      <c r="M58" s="66"/>
    </row>
    <row r="59" spans="1:13" ht="15.75" thickBot="1" x14ac:dyDescent="0.3"/>
    <row r="60" spans="1:13" ht="15.75" thickBot="1" x14ac:dyDescent="0.3">
      <c r="K60" s="67" t="s">
        <v>39</v>
      </c>
      <c r="L60" s="68">
        <f>I58+K58</f>
        <v>12.841321396076939</v>
      </c>
      <c r="M60" s="81">
        <v>4.74</v>
      </c>
    </row>
    <row r="61" spans="1:13" ht="15.75" thickBot="1" x14ac:dyDescent="0.3">
      <c r="K61" s="67" t="s">
        <v>40</v>
      </c>
      <c r="L61" s="69">
        <f>E58+G58+H58</f>
        <v>4.9974033700145873E-2</v>
      </c>
    </row>
    <row r="62" spans="1:13" ht="15.75" thickBot="1" x14ac:dyDescent="0.3">
      <c r="K62" s="67" t="s">
        <v>41</v>
      </c>
      <c r="L62" s="69">
        <f>L72</f>
        <v>6.9100000000000003E-3</v>
      </c>
    </row>
    <row r="63" spans="1:13" ht="15.75" thickBot="1" x14ac:dyDescent="0.3">
      <c r="K63" s="67" t="s">
        <v>42</v>
      </c>
      <c r="L63" s="69">
        <f>L61+L62</f>
        <v>5.6884033700145872E-2</v>
      </c>
    </row>
    <row r="64" spans="1:13" ht="15.75" thickBot="1" x14ac:dyDescent="0.3">
      <c r="K64" s="67" t="s">
        <v>43</v>
      </c>
      <c r="L64" s="69">
        <f>F58</f>
        <v>3.7049445315601441E-2</v>
      </c>
    </row>
    <row r="65" spans="4:13" x14ac:dyDescent="0.25">
      <c r="D65" s="70"/>
      <c r="E65" s="71"/>
      <c r="F65" s="72"/>
      <c r="G65" s="71"/>
      <c r="H65" s="71"/>
    </row>
    <row r="66" spans="4:13" x14ac:dyDescent="0.25">
      <c r="D66" s="70"/>
      <c r="E66" s="73"/>
      <c r="I66" s="73"/>
      <c r="J66" s="73"/>
    </row>
    <row r="67" spans="4:13" x14ac:dyDescent="0.25">
      <c r="E67" s="74"/>
      <c r="G67" s="74"/>
      <c r="H67" s="74"/>
    </row>
    <row r="68" spans="4:13" x14ac:dyDescent="0.25">
      <c r="I68" s="75"/>
      <c r="J68" s="75"/>
      <c r="K68" s="36"/>
      <c r="L68" s="76"/>
    </row>
    <row r="69" spans="4:13" x14ac:dyDescent="0.25">
      <c r="E69" s="77"/>
      <c r="G69" s="77"/>
      <c r="H69" s="77"/>
      <c r="K69" s="78" t="s">
        <v>44</v>
      </c>
      <c r="L69" s="79">
        <v>22</v>
      </c>
    </row>
    <row r="70" spans="4:13" x14ac:dyDescent="0.25">
      <c r="K70" s="78" t="s">
        <v>45</v>
      </c>
      <c r="L70" s="80">
        <f>(L60-L69)*I56</f>
        <v>-40017106.010907069</v>
      </c>
    </row>
    <row r="71" spans="4:13" x14ac:dyDescent="0.25">
      <c r="E71" s="81"/>
      <c r="G71" s="81"/>
      <c r="H71" s="81"/>
      <c r="K71" s="78" t="s">
        <v>46</v>
      </c>
      <c r="L71" s="82">
        <f>L70/H56</f>
        <v>-9.573266891874592E-3</v>
      </c>
    </row>
    <row r="72" spans="4:13" x14ac:dyDescent="0.25">
      <c r="K72" s="78" t="s">
        <v>47</v>
      </c>
      <c r="L72">
        <v>6.9100000000000003E-3</v>
      </c>
    </row>
    <row r="73" spans="4:13" x14ac:dyDescent="0.25">
      <c r="K73" s="78" t="s">
        <v>48</v>
      </c>
      <c r="L73" s="83">
        <f>L71+L72+L61</f>
        <v>4.731076680827128E-2</v>
      </c>
      <c r="M73" s="83">
        <f>L73+L64</f>
        <v>8.4360212123872722E-2</v>
      </c>
    </row>
  </sheetData>
  <mergeCells count="7">
    <mergeCell ref="A1:L1"/>
    <mergeCell ref="A3:L3"/>
    <mergeCell ref="A4:L4"/>
    <mergeCell ref="A6:L6"/>
    <mergeCell ref="E8:F8"/>
    <mergeCell ref="H8:I8"/>
    <mergeCell ref="J8:K8"/>
  </mergeCells>
  <pageMargins left="0.7" right="0.7" top="0.75" bottom="0.75" header="0.3" footer="0.3"/>
  <pageSetup scale="56" orientation="landscape" r:id="rId1"/>
  <headerFooter scaleWithDoc="0">
    <oddHeader>&amp;R&amp;"Times New Roman,Bold"&amp;12Rebuttal Exhibit WSS - 2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workbookViewId="0"/>
  </sheetViews>
  <sheetFormatPr defaultRowHeight="15" x14ac:dyDescent="0.25"/>
  <sheetData>
    <row r="1" spans="2:7" ht="15.75" thickBot="1" x14ac:dyDescent="0.3"/>
    <row r="2" spans="2:7" ht="15.75" thickBot="1" x14ac:dyDescent="0.3">
      <c r="B2" s="114" t="s">
        <v>58</v>
      </c>
      <c r="C2" s="115"/>
      <c r="D2" s="115"/>
      <c r="E2" s="115"/>
      <c r="F2" s="115"/>
      <c r="G2" s="116"/>
    </row>
    <row r="3" spans="2:7" ht="15.75" thickBot="1" x14ac:dyDescent="0.3">
      <c r="B3" s="114" t="s">
        <v>59</v>
      </c>
      <c r="C3" s="115"/>
      <c r="D3" s="116"/>
      <c r="E3" s="114" t="s">
        <v>60</v>
      </c>
      <c r="F3" s="115"/>
      <c r="G3" s="116"/>
    </row>
    <row r="4" spans="2:7" x14ac:dyDescent="0.25">
      <c r="B4" s="109" t="s">
        <v>61</v>
      </c>
      <c r="C4" s="110"/>
      <c r="D4" s="110"/>
      <c r="E4" s="111">
        <v>114</v>
      </c>
      <c r="F4" s="112"/>
      <c r="G4" s="113"/>
    </row>
    <row r="5" spans="2:7" x14ac:dyDescent="0.25">
      <c r="B5" s="99" t="s">
        <v>62</v>
      </c>
      <c r="C5" s="100"/>
      <c r="D5" s="100"/>
      <c r="E5" s="101">
        <v>72859839</v>
      </c>
      <c r="F5" s="102"/>
      <c r="G5" s="103"/>
    </row>
    <row r="6" spans="2:7" x14ac:dyDescent="0.25">
      <c r="B6" s="99" t="s">
        <v>63</v>
      </c>
      <c r="C6" s="100"/>
      <c r="D6" s="100"/>
      <c r="E6" s="101">
        <v>21909161</v>
      </c>
      <c r="F6" s="102"/>
      <c r="G6" s="103"/>
    </row>
    <row r="7" spans="2:7" x14ac:dyDescent="0.25">
      <c r="B7" s="99" t="s">
        <v>64</v>
      </c>
      <c r="C7" s="100"/>
      <c r="D7" s="100"/>
      <c r="E7" s="101">
        <v>59843780</v>
      </c>
      <c r="F7" s="102"/>
      <c r="G7" s="103"/>
    </row>
    <row r="8" spans="2:7" x14ac:dyDescent="0.25">
      <c r="B8" s="99" t="s">
        <v>65</v>
      </c>
      <c r="C8" s="100"/>
      <c r="D8" s="100"/>
      <c r="E8" s="101">
        <v>26485178</v>
      </c>
      <c r="F8" s="102"/>
      <c r="G8" s="103"/>
    </row>
    <row r="9" spans="2:7" x14ac:dyDescent="0.25">
      <c r="B9" s="99" t="s">
        <v>66</v>
      </c>
      <c r="C9" s="100"/>
      <c r="D9" s="100"/>
      <c r="E9" s="101">
        <v>27976208</v>
      </c>
      <c r="F9" s="102"/>
      <c r="G9" s="103"/>
    </row>
    <row r="10" spans="2:7" x14ac:dyDescent="0.25">
      <c r="B10" s="99" t="s">
        <v>67</v>
      </c>
      <c r="C10" s="100"/>
      <c r="D10" s="100"/>
      <c r="E10" s="101">
        <v>805315</v>
      </c>
      <c r="F10" s="102"/>
      <c r="G10" s="103"/>
    </row>
    <row r="11" spans="2:7" x14ac:dyDescent="0.25">
      <c r="B11" s="99" t="s">
        <v>68</v>
      </c>
      <c r="C11" s="100"/>
      <c r="D11" s="100"/>
      <c r="E11" s="101">
        <v>10286651</v>
      </c>
      <c r="F11" s="102"/>
      <c r="G11" s="103"/>
    </row>
    <row r="12" spans="2:7" x14ac:dyDescent="0.25">
      <c r="B12" s="99" t="s">
        <v>69</v>
      </c>
      <c r="C12" s="100"/>
      <c r="D12" s="100"/>
      <c r="E12" s="101">
        <v>447305</v>
      </c>
      <c r="F12" s="102"/>
      <c r="G12" s="103"/>
    </row>
    <row r="13" spans="2:7" x14ac:dyDescent="0.25">
      <c r="B13" s="99" t="s">
        <v>70</v>
      </c>
      <c r="C13" s="100"/>
      <c r="D13" s="100"/>
      <c r="E13" s="101">
        <v>4745317</v>
      </c>
      <c r="F13" s="102"/>
      <c r="G13" s="103"/>
    </row>
    <row r="14" spans="2:7" x14ac:dyDescent="0.25">
      <c r="B14" s="99" t="s">
        <v>71</v>
      </c>
      <c r="C14" s="100"/>
      <c r="D14" s="100"/>
      <c r="E14" s="101">
        <v>949518</v>
      </c>
      <c r="F14" s="102"/>
      <c r="G14" s="103"/>
    </row>
    <row r="15" spans="2:7" x14ac:dyDescent="0.25">
      <c r="B15" s="99" t="s">
        <v>72</v>
      </c>
      <c r="C15" s="100"/>
      <c r="D15" s="100"/>
      <c r="E15" s="101">
        <v>-77948965</v>
      </c>
      <c r="F15" s="102"/>
      <c r="G15" s="103"/>
    </row>
    <row r="16" spans="2:7" x14ac:dyDescent="0.25">
      <c r="B16" s="99" t="s">
        <v>73</v>
      </c>
      <c r="C16" s="100"/>
      <c r="D16" s="100"/>
      <c r="E16" s="101">
        <v>-3617523</v>
      </c>
      <c r="F16" s="102"/>
      <c r="G16" s="103"/>
    </row>
    <row r="17" spans="2:7" x14ac:dyDescent="0.25">
      <c r="B17" s="99" t="s">
        <v>74</v>
      </c>
      <c r="C17" s="100"/>
      <c r="D17" s="100"/>
      <c r="E17" s="101">
        <v>-2084572</v>
      </c>
      <c r="F17" s="102"/>
      <c r="G17" s="103"/>
    </row>
    <row r="18" spans="2:7" x14ac:dyDescent="0.25">
      <c r="B18" s="99" t="s">
        <v>75</v>
      </c>
      <c r="C18" s="100"/>
      <c r="D18" s="100"/>
      <c r="E18" s="101">
        <v>4533572</v>
      </c>
      <c r="F18" s="102"/>
      <c r="G18" s="103"/>
    </row>
    <row r="19" spans="2:7" x14ac:dyDescent="0.25">
      <c r="B19" s="99" t="s">
        <v>76</v>
      </c>
      <c r="C19" s="100"/>
      <c r="D19" s="100"/>
      <c r="E19" s="101">
        <v>1879159</v>
      </c>
      <c r="F19" s="102"/>
      <c r="G19" s="103"/>
    </row>
    <row r="20" spans="2:7" x14ac:dyDescent="0.25">
      <c r="B20" s="99" t="s">
        <v>77</v>
      </c>
      <c r="C20" s="100"/>
      <c r="D20" s="100"/>
      <c r="E20" s="101">
        <v>711615</v>
      </c>
      <c r="F20" s="102"/>
      <c r="G20" s="103"/>
    </row>
    <row r="21" spans="2:7" x14ac:dyDescent="0.25">
      <c r="B21" s="99" t="s">
        <v>78</v>
      </c>
      <c r="C21" s="100"/>
      <c r="D21" s="100"/>
      <c r="E21" s="101">
        <v>-27831569</v>
      </c>
      <c r="F21" s="102"/>
      <c r="G21" s="103"/>
    </row>
    <row r="22" spans="2:7" ht="15.75" thickBot="1" x14ac:dyDescent="0.3">
      <c r="B22" s="104" t="s">
        <v>79</v>
      </c>
      <c r="C22" s="105"/>
      <c r="D22" s="105"/>
      <c r="E22" s="106">
        <v>-743228</v>
      </c>
      <c r="F22" s="107"/>
      <c r="G22" s="108"/>
    </row>
    <row r="23" spans="2:7" x14ac:dyDescent="0.25">
      <c r="B23" s="109" t="s">
        <v>80</v>
      </c>
      <c r="C23" s="110"/>
      <c r="D23" s="110"/>
      <c r="E23" s="111">
        <v>653828</v>
      </c>
      <c r="F23" s="112"/>
      <c r="G23" s="113"/>
    </row>
    <row r="24" spans="2:7" x14ac:dyDescent="0.25">
      <c r="B24" s="99" t="s">
        <v>82</v>
      </c>
      <c r="C24" s="100"/>
      <c r="D24" s="100"/>
      <c r="E24" s="101">
        <v>811118</v>
      </c>
      <c r="F24" s="102"/>
      <c r="G24" s="103"/>
    </row>
    <row r="25" spans="2:7" x14ac:dyDescent="0.25">
      <c r="B25" s="99" t="s">
        <v>81</v>
      </c>
      <c r="C25" s="100"/>
      <c r="D25" s="100"/>
      <c r="E25" s="101">
        <v>35655</v>
      </c>
      <c r="F25" s="102"/>
      <c r="G25" s="103"/>
    </row>
    <row r="26" spans="2:7" x14ac:dyDescent="0.25">
      <c r="B26" s="99" t="s">
        <v>83</v>
      </c>
      <c r="C26" s="100"/>
      <c r="D26" s="100"/>
      <c r="E26" s="101">
        <v>5793616</v>
      </c>
      <c r="F26" s="102"/>
      <c r="G26" s="103"/>
    </row>
    <row r="27" spans="2:7" x14ac:dyDescent="0.25">
      <c r="B27" s="99" t="s">
        <v>84</v>
      </c>
      <c r="C27" s="100"/>
      <c r="D27" s="100"/>
      <c r="E27" s="101">
        <v>-12152</v>
      </c>
      <c r="F27" s="102"/>
      <c r="G27" s="103"/>
    </row>
    <row r="28" spans="2:7" x14ac:dyDescent="0.25">
      <c r="B28" s="99" t="s">
        <v>85</v>
      </c>
      <c r="C28" s="100"/>
      <c r="D28" s="100"/>
      <c r="E28" s="101">
        <v>858254</v>
      </c>
      <c r="F28" s="102"/>
      <c r="G28" s="103"/>
    </row>
    <row r="29" spans="2:7" x14ac:dyDescent="0.25">
      <c r="B29" s="99" t="s">
        <v>86</v>
      </c>
      <c r="C29" s="100"/>
      <c r="D29" s="100"/>
      <c r="E29" s="101">
        <v>1253</v>
      </c>
      <c r="F29" s="102"/>
      <c r="G29" s="103"/>
    </row>
    <row r="30" spans="2:7" x14ac:dyDescent="0.25">
      <c r="B30" s="99" t="s">
        <v>87</v>
      </c>
      <c r="C30" s="100"/>
      <c r="D30" s="100"/>
      <c r="E30" s="101">
        <v>9778</v>
      </c>
      <c r="F30" s="102"/>
      <c r="G30" s="103"/>
    </row>
    <row r="31" spans="2:7" x14ac:dyDescent="0.25">
      <c r="B31" s="99" t="s">
        <v>88</v>
      </c>
      <c r="C31" s="100"/>
      <c r="D31" s="100"/>
      <c r="E31" s="101">
        <v>3264150</v>
      </c>
      <c r="F31" s="102"/>
      <c r="G31" s="103"/>
    </row>
    <row r="32" spans="2:7" x14ac:dyDescent="0.25">
      <c r="B32" s="99" t="s">
        <v>89</v>
      </c>
      <c r="C32" s="100"/>
      <c r="D32" s="100"/>
      <c r="E32" s="101">
        <v>106758</v>
      </c>
      <c r="F32" s="102"/>
      <c r="G32" s="103"/>
    </row>
    <row r="33" spans="2:7" x14ac:dyDescent="0.25">
      <c r="B33" s="99" t="s">
        <v>90</v>
      </c>
      <c r="C33" s="100"/>
      <c r="D33" s="100"/>
      <c r="E33" s="101">
        <v>118813</v>
      </c>
      <c r="F33" s="102"/>
      <c r="G33" s="103"/>
    </row>
    <row r="34" spans="2:7" x14ac:dyDescent="0.25">
      <c r="B34" s="99" t="s">
        <v>91</v>
      </c>
      <c r="C34" s="100"/>
      <c r="D34" s="100"/>
      <c r="E34" s="101">
        <v>999414</v>
      </c>
      <c r="F34" s="102"/>
      <c r="G34" s="103"/>
    </row>
    <row r="35" spans="2:7" x14ac:dyDescent="0.25">
      <c r="B35" s="99" t="s">
        <v>92</v>
      </c>
      <c r="C35" s="100"/>
      <c r="D35" s="100"/>
      <c r="E35" s="101">
        <v>103080</v>
      </c>
      <c r="F35" s="102"/>
      <c r="G35" s="103"/>
    </row>
    <row r="36" spans="2:7" x14ac:dyDescent="0.25">
      <c r="B36" s="99" t="s">
        <v>93</v>
      </c>
      <c r="C36" s="100"/>
      <c r="D36" s="100"/>
      <c r="E36" s="101">
        <v>944471</v>
      </c>
      <c r="F36" s="102"/>
      <c r="G36" s="103"/>
    </row>
    <row r="37" spans="2:7" x14ac:dyDescent="0.25">
      <c r="B37" s="99" t="s">
        <v>94</v>
      </c>
      <c r="C37" s="100"/>
      <c r="D37" s="100"/>
      <c r="E37" s="101">
        <v>1931450</v>
      </c>
      <c r="F37" s="102"/>
      <c r="G37" s="103"/>
    </row>
    <row r="38" spans="2:7" x14ac:dyDescent="0.25">
      <c r="B38" s="99" t="s">
        <v>95</v>
      </c>
      <c r="C38" s="100"/>
      <c r="D38" s="100"/>
      <c r="E38" s="101">
        <v>5737170</v>
      </c>
      <c r="F38" s="102"/>
      <c r="G38" s="103"/>
    </row>
    <row r="39" spans="2:7" x14ac:dyDescent="0.25">
      <c r="B39" s="99" t="s">
        <v>96</v>
      </c>
      <c r="C39" s="100"/>
      <c r="D39" s="100"/>
      <c r="E39" s="101">
        <v>1845802</v>
      </c>
      <c r="F39" s="102"/>
      <c r="G39" s="103"/>
    </row>
    <row r="40" spans="2:7" x14ac:dyDescent="0.25">
      <c r="B40" s="99" t="s">
        <v>97</v>
      </c>
      <c r="C40" s="100"/>
      <c r="D40" s="100"/>
      <c r="E40" s="101">
        <v>960</v>
      </c>
      <c r="F40" s="102"/>
      <c r="G40" s="103"/>
    </row>
    <row r="41" spans="2:7" x14ac:dyDescent="0.25">
      <c r="B41" s="99" t="s">
        <v>98</v>
      </c>
      <c r="C41" s="100"/>
      <c r="D41" s="100"/>
      <c r="E41" s="101">
        <v>271661</v>
      </c>
      <c r="F41" s="102"/>
      <c r="G41" s="103"/>
    </row>
    <row r="42" spans="2:7" x14ac:dyDescent="0.25">
      <c r="B42" s="99" t="s">
        <v>99</v>
      </c>
      <c r="C42" s="100"/>
      <c r="D42" s="100"/>
      <c r="E42" s="101">
        <v>215952</v>
      </c>
      <c r="F42" s="102"/>
      <c r="G42" s="103"/>
    </row>
    <row r="43" spans="2:7" x14ac:dyDescent="0.25">
      <c r="B43" s="99" t="s">
        <v>100</v>
      </c>
      <c r="C43" s="100"/>
      <c r="D43" s="100"/>
      <c r="E43" s="101">
        <v>191848</v>
      </c>
      <c r="F43" s="102"/>
      <c r="G43" s="103"/>
    </row>
    <row r="44" spans="2:7" x14ac:dyDescent="0.25">
      <c r="B44" s="99" t="s">
        <v>101</v>
      </c>
      <c r="C44" s="100"/>
      <c r="D44" s="100"/>
      <c r="E44" s="101">
        <v>613731</v>
      </c>
      <c r="F44" s="102"/>
      <c r="G44" s="103"/>
    </row>
    <row r="45" spans="2:7" x14ac:dyDescent="0.25">
      <c r="B45" s="99" t="s">
        <v>102</v>
      </c>
      <c r="C45" s="100"/>
      <c r="D45" s="100"/>
      <c r="E45" s="101">
        <v>708498</v>
      </c>
      <c r="F45" s="102"/>
      <c r="G45" s="103"/>
    </row>
    <row r="46" spans="2:7" x14ac:dyDescent="0.25">
      <c r="B46" s="99" t="s">
        <v>103</v>
      </c>
      <c r="C46" s="100"/>
      <c r="D46" s="100"/>
      <c r="E46" s="101">
        <v>4138193</v>
      </c>
      <c r="F46" s="102"/>
      <c r="G46" s="103"/>
    </row>
    <row r="47" spans="2:7" x14ac:dyDescent="0.25">
      <c r="B47" s="99" t="s">
        <v>104</v>
      </c>
      <c r="C47" s="100"/>
      <c r="D47" s="100"/>
      <c r="E47" s="101">
        <v>894893</v>
      </c>
      <c r="F47" s="102"/>
      <c r="G47" s="103"/>
    </row>
    <row r="48" spans="2:7" x14ac:dyDescent="0.25">
      <c r="B48" s="99" t="s">
        <v>105</v>
      </c>
      <c r="C48" s="100"/>
      <c r="D48" s="100"/>
      <c r="E48" s="101">
        <v>-654221</v>
      </c>
      <c r="F48" s="102"/>
      <c r="G48" s="103"/>
    </row>
    <row r="49" spans="2:7" x14ac:dyDescent="0.25">
      <c r="B49" s="99" t="s">
        <v>106</v>
      </c>
      <c r="C49" s="100"/>
      <c r="D49" s="100"/>
      <c r="E49" s="101">
        <v>2403430</v>
      </c>
      <c r="F49" s="102"/>
      <c r="G49" s="103"/>
    </row>
    <row r="50" spans="2:7" x14ac:dyDescent="0.25">
      <c r="B50" s="99" t="s">
        <v>107</v>
      </c>
      <c r="C50" s="100"/>
      <c r="D50" s="100"/>
      <c r="E50" s="101">
        <v>234202</v>
      </c>
      <c r="F50" s="102"/>
      <c r="G50" s="103"/>
    </row>
    <row r="51" spans="2:7" x14ac:dyDescent="0.25">
      <c r="B51" s="99" t="s">
        <v>108</v>
      </c>
      <c r="C51" s="100"/>
      <c r="D51" s="100"/>
      <c r="E51" s="101">
        <v>429259</v>
      </c>
      <c r="F51" s="102"/>
      <c r="G51" s="103"/>
    </row>
    <row r="52" spans="2:7" x14ac:dyDescent="0.25">
      <c r="B52" s="99" t="s">
        <v>109</v>
      </c>
      <c r="C52" s="100"/>
      <c r="D52" s="100"/>
      <c r="E52" s="101">
        <v>4420765</v>
      </c>
      <c r="F52" s="102"/>
      <c r="G52" s="103"/>
    </row>
    <row r="53" spans="2:7" x14ac:dyDescent="0.25">
      <c r="B53" s="99" t="s">
        <v>110</v>
      </c>
      <c r="C53" s="100"/>
      <c r="D53" s="100"/>
      <c r="E53" s="101">
        <v>71323</v>
      </c>
      <c r="F53" s="102"/>
      <c r="G53" s="103"/>
    </row>
    <row r="54" spans="2:7" x14ac:dyDescent="0.25">
      <c r="B54" s="99" t="s">
        <v>111</v>
      </c>
      <c r="C54" s="100"/>
      <c r="D54" s="100"/>
      <c r="E54" s="101">
        <v>-34738</v>
      </c>
      <c r="F54" s="102"/>
      <c r="G54" s="103"/>
    </row>
    <row r="55" spans="2:7" x14ac:dyDescent="0.25">
      <c r="B55" s="99" t="s">
        <v>112</v>
      </c>
      <c r="C55" s="100"/>
      <c r="D55" s="100"/>
      <c r="E55" s="101">
        <v>562747</v>
      </c>
      <c r="F55" s="102"/>
      <c r="G55" s="103"/>
    </row>
    <row r="56" spans="2:7" x14ac:dyDescent="0.25">
      <c r="B56" s="99" t="s">
        <v>113</v>
      </c>
      <c r="C56" s="100"/>
      <c r="D56" s="100"/>
      <c r="E56" s="101">
        <v>57163</v>
      </c>
      <c r="F56" s="102"/>
      <c r="G56" s="103"/>
    </row>
    <row r="57" spans="2:7" ht="15.75" thickBot="1" x14ac:dyDescent="0.3">
      <c r="B57" s="104" t="s">
        <v>114</v>
      </c>
      <c r="C57" s="105"/>
      <c r="D57" s="105"/>
      <c r="E57" s="106">
        <v>31407</v>
      </c>
      <c r="F57" s="107"/>
      <c r="G57" s="108"/>
    </row>
    <row r="58" spans="2:7" x14ac:dyDescent="0.25">
      <c r="B58" s="109" t="s">
        <v>115</v>
      </c>
      <c r="C58" s="110"/>
      <c r="D58" s="110"/>
      <c r="E58" s="111">
        <v>5787117</v>
      </c>
      <c r="F58" s="112"/>
      <c r="G58" s="113"/>
    </row>
    <row r="59" spans="2:7" x14ac:dyDescent="0.25">
      <c r="B59" s="99" t="s">
        <v>116</v>
      </c>
      <c r="C59" s="100"/>
      <c r="D59" s="100"/>
      <c r="E59" s="101">
        <v>1020104</v>
      </c>
      <c r="F59" s="102"/>
      <c r="G59" s="103"/>
    </row>
    <row r="60" spans="2:7" x14ac:dyDescent="0.25">
      <c r="B60" s="99" t="s">
        <v>117</v>
      </c>
      <c r="C60" s="100"/>
      <c r="D60" s="100"/>
      <c r="E60" s="101">
        <v>1652380</v>
      </c>
      <c r="F60" s="102"/>
      <c r="G60" s="103"/>
    </row>
    <row r="61" spans="2:7" x14ac:dyDescent="0.25">
      <c r="B61" s="99" t="s">
        <v>118</v>
      </c>
      <c r="C61" s="100"/>
      <c r="D61" s="100"/>
      <c r="E61" s="101">
        <v>-50926</v>
      </c>
      <c r="F61" s="102"/>
      <c r="G61" s="103"/>
    </row>
    <row r="62" spans="2:7" ht="15.75" thickBot="1" x14ac:dyDescent="0.3">
      <c r="B62" s="104" t="s">
        <v>119</v>
      </c>
      <c r="C62" s="105"/>
      <c r="D62" s="105"/>
      <c r="E62" s="106">
        <v>3158828</v>
      </c>
      <c r="F62" s="107"/>
      <c r="G62" s="108"/>
    </row>
  </sheetData>
  <mergeCells count="121">
    <mergeCell ref="B3:D3"/>
    <mergeCell ref="E3:G3"/>
    <mergeCell ref="B2:G2"/>
    <mergeCell ref="B4:D4"/>
    <mergeCell ref="E4:G4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E5:G5"/>
    <mergeCell ref="E6:G6"/>
    <mergeCell ref="E7:G7"/>
    <mergeCell ref="E8:G8"/>
    <mergeCell ref="E9:G9"/>
    <mergeCell ref="E10:G10"/>
    <mergeCell ref="B17:D17"/>
    <mergeCell ref="B18:D18"/>
    <mergeCell ref="B19:D19"/>
    <mergeCell ref="B5:D5"/>
    <mergeCell ref="B6:D6"/>
    <mergeCell ref="B7:D7"/>
    <mergeCell ref="B8:D8"/>
    <mergeCell ref="B9:D9"/>
    <mergeCell ref="B10:D10"/>
    <mergeCell ref="E17:G17"/>
    <mergeCell ref="E18:G18"/>
    <mergeCell ref="E19:G19"/>
    <mergeCell ref="E20:G20"/>
    <mergeCell ref="E21:G21"/>
    <mergeCell ref="E22:G22"/>
    <mergeCell ref="E11:G11"/>
    <mergeCell ref="E12:G12"/>
    <mergeCell ref="E13:G13"/>
    <mergeCell ref="E14:G14"/>
    <mergeCell ref="E15:G15"/>
    <mergeCell ref="E16:G16"/>
    <mergeCell ref="B25:D25"/>
    <mergeCell ref="E25:G25"/>
    <mergeCell ref="B26:D26"/>
    <mergeCell ref="E26:G26"/>
    <mergeCell ref="B27:D27"/>
    <mergeCell ref="E27:G27"/>
    <mergeCell ref="B23:D23"/>
    <mergeCell ref="E23:G23"/>
    <mergeCell ref="B24:D24"/>
    <mergeCell ref="E24:G24"/>
    <mergeCell ref="B31:D31"/>
    <mergeCell ref="E31:G31"/>
    <mergeCell ref="B32:D32"/>
    <mergeCell ref="E32:G32"/>
    <mergeCell ref="B33:D33"/>
    <mergeCell ref="E33:G33"/>
    <mergeCell ref="B28:D28"/>
    <mergeCell ref="E28:G28"/>
    <mergeCell ref="B29:D29"/>
    <mergeCell ref="E29:G29"/>
    <mergeCell ref="B30:D30"/>
    <mergeCell ref="E30:G30"/>
    <mergeCell ref="B37:D37"/>
    <mergeCell ref="E37:G37"/>
    <mergeCell ref="B38:D38"/>
    <mergeCell ref="E38:G38"/>
    <mergeCell ref="B39:D39"/>
    <mergeCell ref="E39:G39"/>
    <mergeCell ref="B34:D34"/>
    <mergeCell ref="E34:G34"/>
    <mergeCell ref="B35:D35"/>
    <mergeCell ref="E35:G35"/>
    <mergeCell ref="B36:D36"/>
    <mergeCell ref="E36:G36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B49:D49"/>
    <mergeCell ref="E49:G49"/>
    <mergeCell ref="B50:D50"/>
    <mergeCell ref="E50:G50"/>
    <mergeCell ref="B51:D51"/>
    <mergeCell ref="E51:G51"/>
    <mergeCell ref="B46:D46"/>
    <mergeCell ref="E46:G46"/>
    <mergeCell ref="B47:D47"/>
    <mergeCell ref="E47:G47"/>
    <mergeCell ref="B48:D48"/>
    <mergeCell ref="E48:G48"/>
    <mergeCell ref="B55:D55"/>
    <mergeCell ref="E55:G55"/>
    <mergeCell ref="B56:D56"/>
    <mergeCell ref="E56:G56"/>
    <mergeCell ref="B57:D57"/>
    <mergeCell ref="E57:G57"/>
    <mergeCell ref="B52:D52"/>
    <mergeCell ref="E52:G52"/>
    <mergeCell ref="B53:D53"/>
    <mergeCell ref="E53:G53"/>
    <mergeCell ref="B54:D54"/>
    <mergeCell ref="E54:G54"/>
    <mergeCell ref="B60:D60"/>
    <mergeCell ref="E60:G60"/>
    <mergeCell ref="B61:D61"/>
    <mergeCell ref="E61:G61"/>
    <mergeCell ref="B62:D62"/>
    <mergeCell ref="E62:G62"/>
    <mergeCell ref="B58:D58"/>
    <mergeCell ref="E58:G58"/>
    <mergeCell ref="B59:D59"/>
    <mergeCell ref="E59:G59"/>
  </mergeCells>
  <pageMargins left="0.7" right="0.7" top="0.75" bottom="0.75" header="0.3" footer="0.3"/>
  <pageSetup orientation="portrait" r:id="rId1"/>
  <headerFooter scaleWithDoc="0">
    <oddHeader>&amp;R&amp;"Times New Roman,Bold"&amp;12Rebuttal Exhibit WSS-2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2e24621b9463921cba8771700283fdee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afd24378abb908e54018a23bf51749f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Rebuttal Testimony</Document_x0020_Type>
    <Witness_x0020_Testimony xmlns="54fcda00-7b58-44a7-b108-8bd10a8a08ba">Seelye, Steve (The Prime Group)</Witness_x0020_Testimony>
    <Intervemprs xmlns="54fcda00-7b58-44a7-b108-8bd10a8a08ba" xsi:nil="true"/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828A7DC-7CDA-464D-9AE2-D9D80C4C7B2E}"/>
</file>

<file path=customXml/itemProps2.xml><?xml version="1.0" encoding="utf-8"?>
<ds:datastoreItem xmlns:ds="http://schemas.openxmlformats.org/officeDocument/2006/customXml" ds:itemID="{9FBB8928-6D91-4520-BA3B-D19EA3E5256A}"/>
</file>

<file path=customXml/itemProps3.xml><?xml version="1.0" encoding="utf-8"?>
<ds:datastoreItem xmlns:ds="http://schemas.openxmlformats.org/officeDocument/2006/customXml" ds:itemID="{2E6BAD03-1C97-423B-8CAE-5F6407FE1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WSS-2</vt:lpstr>
      <vt:lpstr>No Exhibit Cust-Related Costs</vt:lpstr>
      <vt:lpstr>'Exhibit WSS-2'!Print_Area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2017-04-06T12:00:39Z</dcterms:created>
  <dcterms:modified xsi:type="dcterms:W3CDTF">2017-04-06T12:00:43Z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