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35" windowWidth="9420" windowHeight="4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Sheet1!$A$1:$K$61</definedName>
  </definedNames>
  <calcPr calcId="152511"/>
</workbook>
</file>

<file path=xl/calcChain.xml><?xml version="1.0" encoding="utf-8"?>
<calcChain xmlns="http://schemas.openxmlformats.org/spreadsheetml/2006/main">
  <c r="K7" i="1" l="1"/>
  <c r="J7" i="1"/>
  <c r="G7" i="1"/>
  <c r="E7" i="1"/>
  <c r="H7" i="1" s="1"/>
  <c r="K39" i="1"/>
  <c r="G39" i="1"/>
  <c r="J39" i="1"/>
  <c r="E39" i="1" s="1"/>
  <c r="H39" i="1" s="1"/>
  <c r="K49" i="1"/>
  <c r="G49" i="1"/>
  <c r="J49" i="1"/>
  <c r="E49" i="1"/>
  <c r="K48" i="1"/>
  <c r="G48" i="1"/>
  <c r="J48" i="1"/>
  <c r="E48" i="1"/>
  <c r="H48" i="1" s="1"/>
  <c r="K47" i="1"/>
  <c r="J47" i="1"/>
  <c r="G47" i="1"/>
  <c r="E47" i="1"/>
  <c r="H47" i="1" s="1"/>
  <c r="K46" i="1"/>
  <c r="J46" i="1"/>
  <c r="G46" i="1"/>
  <c r="E46" i="1"/>
  <c r="H46" i="1" s="1"/>
  <c r="G45" i="1"/>
  <c r="H45" i="1" s="1"/>
  <c r="E45" i="1"/>
  <c r="K38" i="1"/>
  <c r="G38" i="1"/>
  <c r="H38" i="1"/>
  <c r="J38" i="1"/>
  <c r="E38" i="1"/>
  <c r="K37" i="1"/>
  <c r="J37" i="1"/>
  <c r="G37" i="1"/>
  <c r="E37" i="1"/>
  <c r="H37" i="1" s="1"/>
  <c r="K36" i="1"/>
  <c r="G36" i="1"/>
  <c r="J36" i="1"/>
  <c r="E36" i="1"/>
  <c r="H36" i="1" s="1"/>
  <c r="G35" i="1"/>
  <c r="E35" i="1"/>
  <c r="G6" i="1"/>
  <c r="E6" i="1"/>
  <c r="H6" i="1" s="1"/>
  <c r="K29" i="1"/>
  <c r="G29" i="1" s="1"/>
  <c r="J29" i="1"/>
  <c r="E29" i="1"/>
  <c r="K20" i="1"/>
  <c r="J20" i="1"/>
  <c r="G20" i="1"/>
  <c r="E20" i="1"/>
  <c r="H20" i="1" s="1"/>
  <c r="K10" i="1"/>
  <c r="J10" i="1"/>
  <c r="G10" i="1"/>
  <c r="E10" i="1"/>
  <c r="K9" i="1"/>
  <c r="J9" i="1"/>
  <c r="E9" i="1" s="1"/>
  <c r="H9" i="1" s="1"/>
  <c r="G9" i="1"/>
  <c r="K11" i="1"/>
  <c r="G11" i="1"/>
  <c r="J11" i="1"/>
  <c r="E11" i="1" s="1"/>
  <c r="H11" i="1" s="1"/>
  <c r="K28" i="1"/>
  <c r="K27" i="1"/>
  <c r="K19" i="1"/>
  <c r="G19" i="1"/>
  <c r="K18" i="1"/>
  <c r="G18" i="1"/>
  <c r="K8" i="1"/>
  <c r="J28" i="1"/>
  <c r="J27" i="1"/>
  <c r="J19" i="1"/>
  <c r="J18" i="1"/>
  <c r="J8" i="1"/>
  <c r="G28" i="1"/>
  <c r="G27" i="1"/>
  <c r="G8" i="1"/>
  <c r="E28" i="1"/>
  <c r="H28" i="1" s="1"/>
  <c r="E27" i="1"/>
  <c r="H27" i="1" s="1"/>
  <c r="E19" i="1"/>
  <c r="E18" i="1"/>
  <c r="E8" i="1"/>
  <c r="H8" i="1" s="1"/>
  <c r="E26" i="1"/>
  <c r="H26" i="1" s="1"/>
  <c r="G26" i="1"/>
  <c r="E17" i="1"/>
  <c r="G17" i="1"/>
  <c r="H17" i="1" s="1"/>
  <c r="J17" i="1"/>
  <c r="K17" i="1"/>
  <c r="H12" i="1" l="1"/>
  <c r="H18" i="1"/>
  <c r="H29" i="1"/>
  <c r="H49" i="1"/>
  <c r="H50" i="1" s="1"/>
  <c r="H19" i="1"/>
  <c r="H21" i="1" s="1"/>
  <c r="H10" i="1"/>
  <c r="H35" i="1"/>
  <c r="H30" i="1"/>
  <c r="H40" i="1"/>
</calcChain>
</file>

<file path=xl/sharedStrings.xml><?xml version="1.0" encoding="utf-8"?>
<sst xmlns="http://schemas.openxmlformats.org/spreadsheetml/2006/main" count="158" uniqueCount="51">
  <si>
    <t>Weighting</t>
  </si>
  <si>
    <t>Topic</t>
  </si>
  <si>
    <t>Actual (&lt; Target)</t>
  </si>
  <si>
    <t>TIA % Payout</t>
  </si>
  <si>
    <t>Actual (&gt; Target)</t>
  </si>
  <si>
    <t>Weighted TIA % Payout</t>
  </si>
  <si>
    <t>Cont. Budget Variance - Plant</t>
  </si>
  <si>
    <t>Cont. Budget Variance - Combined</t>
  </si>
  <si>
    <t>Availability - EFOR Plant</t>
  </si>
  <si>
    <t>MILL CREEK</t>
  </si>
  <si>
    <t>MIN  -  TARGET  -  MAX</t>
  </si>
  <si>
    <t>Safety: Total Recordable Incidents</t>
  </si>
  <si>
    <t>**Cane Run:</t>
  </si>
  <si>
    <t>CANE RUN**</t>
  </si>
  <si>
    <t>Plant Budget = TC Stm + TC CT's</t>
  </si>
  <si>
    <t>TRIMBLE COUNTY*</t>
  </si>
  <si>
    <t>Safety Rec Inj Payout: Maximum Target Stated = 140% Payout.  Zero Recordables = 150% Payout.</t>
  </si>
  <si>
    <t>*</t>
  </si>
  <si>
    <t>40%</t>
  </si>
  <si>
    <t>15%</t>
  </si>
  <si>
    <t>5%</t>
  </si>
  <si>
    <t>30%</t>
  </si>
  <si>
    <t xml:space="preserve">2015 TIA TEAM EFFECTIVENESS </t>
  </si>
  <si>
    <t>Plant Budget = CR Stm + OF + PR</t>
  </si>
  <si>
    <t>Safety Rec Inj Incidents = CR + OF + PR</t>
  </si>
  <si>
    <t>Ohio Falls EFOR = Discounting River Conditions</t>
  </si>
  <si>
    <t>Availability - EFOR Plant Unit 1</t>
  </si>
  <si>
    <t>Availability - EFOR Plant Unit 2</t>
  </si>
  <si>
    <t>12.5%</t>
  </si>
  <si>
    <t>PADDY'S RUN**</t>
  </si>
  <si>
    <t>OHIO FALLS**</t>
  </si>
  <si>
    <t>10%</t>
  </si>
  <si>
    <t>20%</t>
  </si>
  <si>
    <t>Availability - EFOR Plant Cane Run</t>
  </si>
  <si>
    <t>Availability - EFOR Plant Ohio Falls</t>
  </si>
  <si>
    <t>Starting Reliability - Paddy's Run</t>
  </si>
  <si>
    <t>Starting Reliability - CT</t>
  </si>
  <si>
    <t>LGE PLANTS  (Rev 1/13/2016)</t>
  </si>
  <si>
    <t>Below Target Formula</t>
  </si>
  <si>
    <t>Above Target Formula</t>
  </si>
  <si>
    <t>11.9  -  7.0  -  4.9</t>
  </si>
  <si>
    <t>33.7  -  19.8  -  13.9</t>
  </si>
  <si>
    <r>
      <t>5  -</t>
    </r>
    <r>
      <rPr>
        <b/>
        <sz val="12"/>
        <rFont val="Times New Roman"/>
        <family val="1"/>
      </rPr>
      <t xml:space="preserve"> 3</t>
    </r>
    <r>
      <rPr>
        <sz val="12"/>
        <rFont val="Times New Roman"/>
        <family val="1"/>
      </rPr>
      <t xml:space="preserve"> -  1</t>
    </r>
  </si>
  <si>
    <r>
      <t xml:space="preserve">3.0  -  </t>
    </r>
    <r>
      <rPr>
        <b/>
        <sz val="12"/>
        <rFont val="Times New Roman"/>
        <family val="1"/>
      </rPr>
      <t>1.0</t>
    </r>
    <r>
      <rPr>
        <sz val="12"/>
        <rFont val="Times New Roman"/>
        <family val="1"/>
      </rPr>
      <t xml:space="preserve">  -  (-2.0)</t>
    </r>
  </si>
  <si>
    <r>
      <t xml:space="preserve">6.8  -  </t>
    </r>
    <r>
      <rPr>
        <b/>
        <sz val="12"/>
        <rFont val="Times New Roman"/>
        <family val="1"/>
      </rPr>
      <t>4.0</t>
    </r>
    <r>
      <rPr>
        <sz val="12"/>
        <rFont val="Times New Roman"/>
        <family val="1"/>
      </rPr>
      <t xml:space="preserve">  -  2.8</t>
    </r>
  </si>
  <si>
    <r>
      <t xml:space="preserve">6.5  -  </t>
    </r>
    <r>
      <rPr>
        <b/>
        <sz val="12"/>
        <rFont val="Times New Roman"/>
        <family val="1"/>
      </rPr>
      <t>3.8</t>
    </r>
    <r>
      <rPr>
        <sz val="12"/>
        <rFont val="Times New Roman"/>
        <family val="1"/>
      </rPr>
      <t xml:space="preserve">  -  2.7</t>
    </r>
  </si>
  <si>
    <r>
      <t xml:space="preserve">92.0  -  </t>
    </r>
    <r>
      <rPr>
        <b/>
        <sz val="12"/>
        <rFont val="Times New Roman"/>
        <family val="1"/>
      </rPr>
      <t>96.5</t>
    </r>
    <r>
      <rPr>
        <sz val="12"/>
        <rFont val="Times New Roman"/>
        <family val="1"/>
      </rPr>
      <t xml:space="preserve">  -  98.5</t>
    </r>
  </si>
  <si>
    <r>
      <t xml:space="preserve">5  - 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-  1</t>
    </r>
  </si>
  <si>
    <r>
      <t xml:space="preserve">10.2 - </t>
    </r>
    <r>
      <rPr>
        <b/>
        <sz val="12"/>
        <rFont val="Times New Roman"/>
        <family val="1"/>
      </rPr>
      <t>6.0</t>
    </r>
    <r>
      <rPr>
        <sz val="12"/>
        <rFont val="Times New Roman"/>
        <family val="1"/>
      </rPr>
      <t xml:space="preserve"> - 4.2</t>
    </r>
  </si>
  <si>
    <r>
      <t xml:space="preserve">4  -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-  1</t>
    </r>
  </si>
  <si>
    <r>
      <t>*Trimble County</t>
    </r>
    <r>
      <rPr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</si>
</sst>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>
        <bgColor indexed="22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/>
    <xf numFmtId="2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Normal="100" workbookViewId="0">
      <selection sqref="A1:H1"/>
    </sheetView>
  </sheetViews>
  <sheetFormatPr defaultRowHeight="15.75" x14ac:dyDescent="0.25"/>
  <cols>
    <col min="1" max="1" width="16.7109375" style="4" customWidth="1"/>
    <col min="2" max="2" width="33.140625" style="5" bestFit="1" customWidth="1"/>
    <col min="3" max="3" width="27.140625" style="5" bestFit="1" customWidth="1"/>
    <col min="4" max="4" width="17.7109375" style="4" bestFit="1" customWidth="1"/>
    <col min="5" max="5" width="15" style="4" bestFit="1" customWidth="1"/>
    <col min="6" max="6" width="17.7109375" style="4" bestFit="1" customWidth="1"/>
    <col min="7" max="7" width="15" style="5" bestFit="1" customWidth="1"/>
    <col min="8" max="8" width="25" style="5" bestFit="1" customWidth="1"/>
    <col min="9" max="9" width="9.140625" style="6"/>
    <col min="10" max="10" width="22.7109375" style="5" bestFit="1" customWidth="1"/>
    <col min="11" max="11" width="23" style="5" bestFit="1" customWidth="1"/>
    <col min="12" max="16384" width="9.140625" style="6"/>
  </cols>
  <sheetData>
    <row r="1" spans="1:11" s="2" customFormat="1" x14ac:dyDescent="0.25">
      <c r="A1" s="1" t="s">
        <v>22</v>
      </c>
      <c r="B1" s="1"/>
      <c r="C1" s="1"/>
      <c r="D1" s="1"/>
      <c r="E1" s="1"/>
      <c r="F1" s="1"/>
      <c r="G1" s="1"/>
      <c r="H1" s="1"/>
      <c r="J1" s="3"/>
      <c r="K1" s="3"/>
    </row>
    <row r="2" spans="1:11" s="2" customFormat="1" x14ac:dyDescent="0.25">
      <c r="A2" s="1" t="s">
        <v>37</v>
      </c>
      <c r="B2" s="1"/>
      <c r="C2" s="1"/>
      <c r="D2" s="1"/>
      <c r="E2" s="1"/>
      <c r="F2" s="1"/>
      <c r="G2" s="1"/>
      <c r="H2" s="1"/>
      <c r="J2" s="3"/>
      <c r="K2" s="3"/>
    </row>
    <row r="3" spans="1:11" x14ac:dyDescent="0.25">
      <c r="E3" s="5"/>
    </row>
    <row r="4" spans="1:11" x14ac:dyDescent="0.25">
      <c r="A4" s="7" t="s">
        <v>15</v>
      </c>
    </row>
    <row r="5" spans="1:11" s="2" customFormat="1" x14ac:dyDescent="0.25">
      <c r="A5" s="8" t="s">
        <v>0</v>
      </c>
      <c r="B5" s="9" t="s">
        <v>1</v>
      </c>
      <c r="C5" s="9" t="s">
        <v>10</v>
      </c>
      <c r="D5" s="8" t="s">
        <v>2</v>
      </c>
      <c r="E5" s="8" t="s">
        <v>3</v>
      </c>
      <c r="F5" s="8" t="s">
        <v>4</v>
      </c>
      <c r="G5" s="9" t="s">
        <v>3</v>
      </c>
      <c r="H5" s="9" t="s">
        <v>5</v>
      </c>
      <c r="J5" s="3" t="s">
        <v>38</v>
      </c>
      <c r="K5" s="3" t="s">
        <v>39</v>
      </c>
    </row>
    <row r="6" spans="1:11" x14ac:dyDescent="0.25">
      <c r="A6" s="10" t="s">
        <v>18</v>
      </c>
      <c r="B6" s="11" t="s">
        <v>11</v>
      </c>
      <c r="C6" s="10" t="s">
        <v>42</v>
      </c>
      <c r="D6" s="12" t="s">
        <v>17</v>
      </c>
      <c r="E6" s="13" t="str">
        <f>IF(D6&gt;5,"0",IF(D6=5,"50",IF(D6=4,"75",IF(D6=3,"100",IF(D6&lt;3,"0")))))</f>
        <v>0</v>
      </c>
      <c r="F6" s="12">
        <v>3</v>
      </c>
      <c r="G6" s="13" t="str">
        <f>IF(F6&gt;3,"0",IF(F6=3,"100",IF(F6=2,"120",IF(F6=1,"140",IF(F6=0,"150")))))</f>
        <v>100</v>
      </c>
      <c r="H6" s="13">
        <f>(E6+G6)*(40)/(100)</f>
        <v>40</v>
      </c>
    </row>
    <row r="7" spans="1:11" x14ac:dyDescent="0.25">
      <c r="A7" s="10" t="s">
        <v>19</v>
      </c>
      <c r="B7" s="11" t="s">
        <v>6</v>
      </c>
      <c r="C7" s="11" t="s">
        <v>43</v>
      </c>
      <c r="D7" s="14">
        <v>2.38</v>
      </c>
      <c r="E7" s="13">
        <f>IF(D7&gt;3,"0",IF(D7&lt;1,"0",J7))</f>
        <v>65.5</v>
      </c>
      <c r="F7" s="14" t="s">
        <v>17</v>
      </c>
      <c r="G7" s="13" t="str">
        <f>IF(F7&gt;1,"0",IF(F7&lt;-2,"150",K7))</f>
        <v>0</v>
      </c>
      <c r="H7" s="13">
        <f>(E7+G7)*(15)/(100)</f>
        <v>9.8249999999999993</v>
      </c>
      <c r="J7" s="5">
        <f>(3-D7)*(50)/(2)+(50)</f>
        <v>65.5</v>
      </c>
      <c r="K7" s="5" t="e">
        <f>(1-F7)*(50)/(3)+100</f>
        <v>#VALUE!</v>
      </c>
    </row>
    <row r="8" spans="1:11" x14ac:dyDescent="0.25">
      <c r="A8" s="10" t="s">
        <v>19</v>
      </c>
      <c r="B8" s="11" t="s">
        <v>7</v>
      </c>
      <c r="C8" s="11" t="s">
        <v>43</v>
      </c>
      <c r="D8" s="14" t="s">
        <v>17</v>
      </c>
      <c r="E8" s="13" t="str">
        <f>IF(D8&gt;3,"0",IF(D8&lt;1,"0",J8))</f>
        <v>0</v>
      </c>
      <c r="F8" s="14">
        <v>-3.65</v>
      </c>
      <c r="G8" s="13" t="str">
        <f>IF(F8&gt;1,"0",IF(F8&lt;-2,"150",K8))</f>
        <v>150</v>
      </c>
      <c r="H8" s="13">
        <f>(E8+G8)*(15)/(100)</f>
        <v>22.5</v>
      </c>
      <c r="J8" s="5" t="e">
        <f>(3-D8)*(50)/(2)+(50)</f>
        <v>#VALUE!</v>
      </c>
      <c r="K8" s="5">
        <f>(1-F8)*(50)/(3)+100</f>
        <v>177.5</v>
      </c>
    </row>
    <row r="9" spans="1:11" x14ac:dyDescent="0.25">
      <c r="A9" s="10" t="s">
        <v>28</v>
      </c>
      <c r="B9" s="11" t="s">
        <v>26</v>
      </c>
      <c r="C9" s="11" t="s">
        <v>44</v>
      </c>
      <c r="D9" s="14">
        <v>4.0199999999999996</v>
      </c>
      <c r="E9" s="13">
        <f>IF(D9&gt;6.8,"0",IF(D9&lt;4,"0",J9))</f>
        <v>99.642857142857139</v>
      </c>
      <c r="F9" s="14" t="s">
        <v>17</v>
      </c>
      <c r="G9" s="13" t="str">
        <f>IF(F9&gt;4,"0",IF(F9&lt;2.8,"150",K9))</f>
        <v>0</v>
      </c>
      <c r="H9" s="13">
        <f>(E9+G9)*(12.5)/(100)</f>
        <v>12.455357142857142</v>
      </c>
      <c r="J9" s="5">
        <f>(6.8-D9)*(50)/(2.8)+50</f>
        <v>99.642857142857139</v>
      </c>
      <c r="K9" s="5" t="e">
        <f>(4-F9)*(50)/(1.2)+100</f>
        <v>#VALUE!</v>
      </c>
    </row>
    <row r="10" spans="1:11" x14ac:dyDescent="0.25">
      <c r="A10" s="10" t="s">
        <v>28</v>
      </c>
      <c r="B10" s="11" t="s">
        <v>27</v>
      </c>
      <c r="C10" s="11" t="s">
        <v>45</v>
      </c>
      <c r="D10" s="14">
        <v>7.62</v>
      </c>
      <c r="E10" s="13" t="str">
        <f>IF(D10&gt;6.5,"0",IF(D10&lt;3.8,"0",J10))</f>
        <v>0</v>
      </c>
      <c r="F10" s="14" t="s">
        <v>17</v>
      </c>
      <c r="G10" s="13" t="str">
        <f>IF(F10&gt;3.8,"0",IF(F10&lt;2.7,"150",K10))</f>
        <v>0</v>
      </c>
      <c r="H10" s="13">
        <f>(E10+G10)*(12.5)/(100)</f>
        <v>0</v>
      </c>
      <c r="J10" s="5">
        <f>(6.5-D10)*(50)/(2.7)+50</f>
        <v>29.25925925925926</v>
      </c>
      <c r="K10" s="5" t="e">
        <f>(3.8-F10)*(50)/(1.1)+100</f>
        <v>#VALUE!</v>
      </c>
    </row>
    <row r="11" spans="1:11" x14ac:dyDescent="0.25">
      <c r="A11" s="10" t="s">
        <v>20</v>
      </c>
      <c r="B11" s="11" t="s">
        <v>36</v>
      </c>
      <c r="C11" s="11" t="s">
        <v>46</v>
      </c>
      <c r="D11" s="14">
        <v>96.1</v>
      </c>
      <c r="E11" s="13">
        <f>IF(D11&gt;96.5,"0",IF(D11&lt;92,"0",J11))</f>
        <v>95.555555555555486</v>
      </c>
      <c r="F11" s="14"/>
      <c r="G11" s="13" t="str">
        <f>IF(F11&lt;96.5,"0",IF(F11&gt;98.5,"150",K11))</f>
        <v>0</v>
      </c>
      <c r="H11" s="13">
        <f>(E11+G11)*(5)/(100)</f>
        <v>4.7777777777777741</v>
      </c>
      <c r="J11" s="5">
        <f>(D11-92)*(50)/(4.5)+(50)</f>
        <v>95.555555555555486</v>
      </c>
      <c r="K11" s="5">
        <f>(F11-96.5)*(50)/(2)+(100)</f>
        <v>-2312.5</v>
      </c>
    </row>
    <row r="12" spans="1:11" x14ac:dyDescent="0.25">
      <c r="A12" s="10"/>
      <c r="B12" s="11"/>
      <c r="C12" s="11"/>
      <c r="D12" s="13"/>
      <c r="E12" s="13"/>
      <c r="F12" s="13"/>
      <c r="G12" s="11"/>
      <c r="H12" s="8">
        <f>SUM(H6:H11)</f>
        <v>89.558134920634913</v>
      </c>
    </row>
    <row r="13" spans="1:11" x14ac:dyDescent="0.25">
      <c r="A13" s="15"/>
      <c r="B13" s="16"/>
      <c r="C13" s="16"/>
      <c r="D13" s="15"/>
      <c r="E13" s="15"/>
      <c r="F13" s="15"/>
      <c r="G13" s="16"/>
      <c r="H13" s="15"/>
    </row>
    <row r="14" spans="1:11" x14ac:dyDescent="0.25">
      <c r="A14" s="15"/>
      <c r="B14" s="16"/>
      <c r="C14" s="16"/>
      <c r="D14" s="15"/>
      <c r="E14" s="15"/>
      <c r="F14" s="15"/>
      <c r="G14" s="16"/>
      <c r="H14" s="16"/>
    </row>
    <row r="15" spans="1:11" x14ac:dyDescent="0.25">
      <c r="A15" s="7" t="s">
        <v>9</v>
      </c>
    </row>
    <row r="16" spans="1:11" s="2" customFormat="1" x14ac:dyDescent="0.25">
      <c r="A16" s="8" t="s">
        <v>0</v>
      </c>
      <c r="B16" s="9" t="s">
        <v>1</v>
      </c>
      <c r="C16" s="9" t="s">
        <v>10</v>
      </c>
      <c r="D16" s="8" t="s">
        <v>2</v>
      </c>
      <c r="E16" s="8" t="s">
        <v>3</v>
      </c>
      <c r="F16" s="8" t="s">
        <v>4</v>
      </c>
      <c r="G16" s="9" t="s">
        <v>3</v>
      </c>
      <c r="H16" s="9" t="s">
        <v>5</v>
      </c>
      <c r="J16" s="3" t="s">
        <v>38</v>
      </c>
      <c r="K16" s="3" t="s">
        <v>39</v>
      </c>
    </row>
    <row r="17" spans="1:11" x14ac:dyDescent="0.25">
      <c r="A17" s="10" t="s">
        <v>18</v>
      </c>
      <c r="B17" s="11" t="s">
        <v>11</v>
      </c>
      <c r="C17" s="10" t="s">
        <v>47</v>
      </c>
      <c r="D17" s="12">
        <v>4</v>
      </c>
      <c r="E17" s="13" t="str">
        <f>IF(D17&gt;5,"0",IF(D17=5,"50",IF(D17=4,"75",IF(D17=3,"100",IF(D17&lt;3,"0")))))</f>
        <v>75</v>
      </c>
      <c r="F17" s="12" t="s">
        <v>17</v>
      </c>
      <c r="G17" s="13" t="str">
        <f>IF(F17&gt;3,"0",IF(F17=3,"100",IF(F17=2,"120",IF(F17=1,"140",IF(F17=0,"150")))))</f>
        <v>0</v>
      </c>
      <c r="H17" s="13">
        <f>(E17+G17)*(40)/(100)</f>
        <v>30</v>
      </c>
      <c r="J17" s="5">
        <f>(8-D17)*(50)/(2)+(50)</f>
        <v>150</v>
      </c>
      <c r="K17" s="5" t="e">
        <f>(6-F17)*(50)/(4)+100</f>
        <v>#VALUE!</v>
      </c>
    </row>
    <row r="18" spans="1:11" x14ac:dyDescent="0.25">
      <c r="A18" s="10" t="s">
        <v>19</v>
      </c>
      <c r="B18" s="11" t="s">
        <v>6</v>
      </c>
      <c r="C18" s="11" t="s">
        <v>43</v>
      </c>
      <c r="D18" s="14" t="s">
        <v>17</v>
      </c>
      <c r="E18" s="13" t="str">
        <f>IF(D18&gt;3,"0",IF(D18&lt;1,"0",J18))</f>
        <v>0</v>
      </c>
      <c r="F18" s="14">
        <v>-1.67</v>
      </c>
      <c r="G18" s="13">
        <f>IF(F18&gt;1,"0",IF(F18&lt;-2,"150",K18))</f>
        <v>144.5</v>
      </c>
      <c r="H18" s="13">
        <f>(E18+G18)*(15)/(100)</f>
        <v>21.675000000000001</v>
      </c>
      <c r="J18" s="5" t="e">
        <f>(3-D18)*(50)/(2)+(50)</f>
        <v>#VALUE!</v>
      </c>
      <c r="K18" s="5">
        <f>(1-F18)*(50)/(3)+100</f>
        <v>144.5</v>
      </c>
    </row>
    <row r="19" spans="1:11" x14ac:dyDescent="0.25">
      <c r="A19" s="10" t="s">
        <v>19</v>
      </c>
      <c r="B19" s="11" t="s">
        <v>7</v>
      </c>
      <c r="C19" s="11" t="s">
        <v>43</v>
      </c>
      <c r="D19" s="14" t="s">
        <v>17</v>
      </c>
      <c r="E19" s="13" t="str">
        <f>IF(D19&gt;3,"0",IF(D19&lt;1,"0",J19))</f>
        <v>0</v>
      </c>
      <c r="F19" s="14">
        <v>-3.65</v>
      </c>
      <c r="G19" s="13" t="str">
        <f>IF(F19&gt;1,"0",IF(F19&lt;-2,"150",K19))</f>
        <v>150</v>
      </c>
      <c r="H19" s="13">
        <f>(E19+G19)*(15)/(100)</f>
        <v>22.5</v>
      </c>
      <c r="J19" s="5" t="e">
        <f>(3-D19)*(50)/(2)+(50)</f>
        <v>#VALUE!</v>
      </c>
      <c r="K19" s="5">
        <f>(1-F19)*(50)/(3)+100</f>
        <v>177.5</v>
      </c>
    </row>
    <row r="20" spans="1:11" x14ac:dyDescent="0.25">
      <c r="A20" s="10" t="s">
        <v>21</v>
      </c>
      <c r="B20" s="11" t="s">
        <v>8</v>
      </c>
      <c r="C20" s="11" t="s">
        <v>48</v>
      </c>
      <c r="D20" s="14" t="s">
        <v>17</v>
      </c>
      <c r="E20" s="13" t="str">
        <f>IF(D20&gt;10.2,"0",IF(D20&lt;6,"0",J20))</f>
        <v>0</v>
      </c>
      <c r="F20" s="14">
        <v>2.83</v>
      </c>
      <c r="G20" s="13" t="str">
        <f>IF(F20&gt;6,"0",IF(F20&lt;4.2,"150",K20))</f>
        <v>150</v>
      </c>
      <c r="H20" s="13">
        <f>(E20+G20)*(30)/(100)</f>
        <v>45</v>
      </c>
      <c r="J20" s="5" t="e">
        <f>(10.2-D20)*(50)/(4.2)+50</f>
        <v>#VALUE!</v>
      </c>
      <c r="K20" s="5">
        <f>(6-F20)*(50)/(1.8)+100</f>
        <v>188.05555555555554</v>
      </c>
    </row>
    <row r="21" spans="1:11" x14ac:dyDescent="0.25">
      <c r="A21" s="13"/>
      <c r="B21" s="11"/>
      <c r="C21" s="11"/>
      <c r="D21" s="13"/>
      <c r="E21" s="13"/>
      <c r="F21" s="13"/>
      <c r="G21" s="11"/>
      <c r="H21" s="8">
        <f>SUM(H17:H20)</f>
        <v>119.175</v>
      </c>
    </row>
    <row r="24" spans="1:11" x14ac:dyDescent="0.25">
      <c r="A24" s="7" t="s">
        <v>13</v>
      </c>
    </row>
    <row r="25" spans="1:11" s="2" customFormat="1" x14ac:dyDescent="0.25">
      <c r="A25" s="8" t="s">
        <v>0</v>
      </c>
      <c r="B25" s="9" t="s">
        <v>1</v>
      </c>
      <c r="C25" s="9" t="s">
        <v>10</v>
      </c>
      <c r="D25" s="8" t="s">
        <v>2</v>
      </c>
      <c r="E25" s="8" t="s">
        <v>3</v>
      </c>
      <c r="F25" s="8" t="s">
        <v>4</v>
      </c>
      <c r="G25" s="9" t="s">
        <v>3</v>
      </c>
      <c r="H25" s="9" t="s">
        <v>5</v>
      </c>
      <c r="J25" s="3" t="s">
        <v>38</v>
      </c>
      <c r="K25" s="3" t="s">
        <v>39</v>
      </c>
    </row>
    <row r="26" spans="1:11" x14ac:dyDescent="0.25">
      <c r="A26" s="10" t="s">
        <v>18</v>
      </c>
      <c r="B26" s="11" t="s">
        <v>11</v>
      </c>
      <c r="C26" s="10" t="s">
        <v>49</v>
      </c>
      <c r="D26" s="12" t="s">
        <v>17</v>
      </c>
      <c r="E26" s="13" t="str">
        <f>IF(D26&gt;4,"0", IF(D26=4,"50",IF(D26=3,"75",IF(D26=2,"100"))))</f>
        <v>0</v>
      </c>
      <c r="F26" s="12">
        <v>0</v>
      </c>
      <c r="G26" s="13" t="str">
        <f>IF(F26&gt;2,"0",IF(F26=2,"100",IF(F26=1,"140",IF(F26=0,"150"))))</f>
        <v>150</v>
      </c>
      <c r="H26" s="13">
        <f>(E26+G26)*(40)/(100)</f>
        <v>60</v>
      </c>
    </row>
    <row r="27" spans="1:11" x14ac:dyDescent="0.25">
      <c r="A27" s="10" t="s">
        <v>19</v>
      </c>
      <c r="B27" s="11" t="s">
        <v>6</v>
      </c>
      <c r="C27" s="11" t="s">
        <v>43</v>
      </c>
      <c r="D27" s="14" t="s">
        <v>17</v>
      </c>
      <c r="E27" s="13" t="str">
        <f>IF(D27&gt;3,"0",IF(D27&lt;1,"0",J27))</f>
        <v>0</v>
      </c>
      <c r="F27" s="14">
        <v>-15.14</v>
      </c>
      <c r="G27" s="13" t="str">
        <f>IF(F27&gt;1,"0",IF(F27&lt;-2,"150",K27))</f>
        <v>150</v>
      </c>
      <c r="H27" s="13">
        <f>(E27+G27)*(15)/(100)</f>
        <v>22.5</v>
      </c>
      <c r="J27" s="5" t="e">
        <f>(3-D27)*(50)/(2)+(50)</f>
        <v>#VALUE!</v>
      </c>
      <c r="K27" s="5">
        <f>(1-F27)*(50)/(3)+100</f>
        <v>369</v>
      </c>
    </row>
    <row r="28" spans="1:11" x14ac:dyDescent="0.25">
      <c r="A28" s="10" t="s">
        <v>19</v>
      </c>
      <c r="B28" s="11" t="s">
        <v>7</v>
      </c>
      <c r="C28" s="11" t="s">
        <v>43</v>
      </c>
      <c r="D28" s="14" t="s">
        <v>17</v>
      </c>
      <c r="E28" s="13" t="str">
        <f>IF(D28&gt;3,"0",IF(D28&lt;1,"0",J28))</f>
        <v>0</v>
      </c>
      <c r="F28" s="14">
        <v>-3.65</v>
      </c>
      <c r="G28" s="13" t="str">
        <f>IF(F28&gt;1,"0",IF(F28&lt;-2,"150",K28))</f>
        <v>150</v>
      </c>
      <c r="H28" s="13">
        <f>(E28+G28)*(15)/(100)</f>
        <v>22.5</v>
      </c>
      <c r="J28" s="5" t="e">
        <f>(3-D28)*(50)/(2)+(50)</f>
        <v>#VALUE!</v>
      </c>
      <c r="K28" s="5">
        <f>(1-F28)*(50)/(3)+100</f>
        <v>177.5</v>
      </c>
    </row>
    <row r="29" spans="1:11" x14ac:dyDescent="0.25">
      <c r="A29" s="10" t="s">
        <v>21</v>
      </c>
      <c r="B29" s="11" t="s">
        <v>8</v>
      </c>
      <c r="C29" s="11" t="s">
        <v>40</v>
      </c>
      <c r="D29" s="14" t="s">
        <v>17</v>
      </c>
      <c r="E29" s="13" t="str">
        <f>IF(D29&gt;11.9,"0",IF(D29&lt;7,"0",J29))</f>
        <v>0</v>
      </c>
      <c r="F29" s="14">
        <v>5.57</v>
      </c>
      <c r="G29" s="13">
        <f>IF(F29&gt;7,"0",IF(F29&lt;4.9,"150",K29))</f>
        <v>134.04761904761904</v>
      </c>
      <c r="H29" s="13">
        <f>(E29+G29)*(30)/(100)</f>
        <v>40.214285714285708</v>
      </c>
      <c r="J29" s="5" t="e">
        <f>(11.9-D29)*(50)/(4.9)+50</f>
        <v>#VALUE!</v>
      </c>
      <c r="K29" s="5">
        <f>(7-F29)*(50)/(2.1)+100</f>
        <v>134.04761904761904</v>
      </c>
    </row>
    <row r="30" spans="1:11" x14ac:dyDescent="0.25">
      <c r="A30" s="13"/>
      <c r="B30" s="11"/>
      <c r="C30" s="11"/>
      <c r="D30" s="13"/>
      <c r="E30" s="13"/>
      <c r="F30" s="13"/>
      <c r="G30" s="11"/>
      <c r="H30" s="8">
        <f>SUM(H26:H29)</f>
        <v>145.21428571428572</v>
      </c>
    </row>
    <row r="33" spans="1:11" x14ac:dyDescent="0.25">
      <c r="A33" s="7" t="s">
        <v>29</v>
      </c>
    </row>
    <row r="34" spans="1:11" s="2" customFormat="1" x14ac:dyDescent="0.25">
      <c r="A34" s="8" t="s">
        <v>0</v>
      </c>
      <c r="B34" s="9" t="s">
        <v>1</v>
      </c>
      <c r="C34" s="9" t="s">
        <v>10</v>
      </c>
      <c r="D34" s="8" t="s">
        <v>2</v>
      </c>
      <c r="E34" s="8" t="s">
        <v>3</v>
      </c>
      <c r="F34" s="8" t="s">
        <v>4</v>
      </c>
      <c r="G34" s="9" t="s">
        <v>3</v>
      </c>
      <c r="H34" s="9" t="s">
        <v>5</v>
      </c>
      <c r="J34" s="3" t="s">
        <v>38</v>
      </c>
      <c r="K34" s="3" t="s">
        <v>39</v>
      </c>
    </row>
    <row r="35" spans="1:11" x14ac:dyDescent="0.25">
      <c r="A35" s="10" t="s">
        <v>18</v>
      </c>
      <c r="B35" s="11" t="s">
        <v>11</v>
      </c>
      <c r="C35" s="10" t="s">
        <v>49</v>
      </c>
      <c r="D35" s="12" t="s">
        <v>17</v>
      </c>
      <c r="E35" s="13" t="str">
        <f>IF(D35&gt;4,"0", IF(D35=4,"50",IF(D35=3,"75",IF(D35=2,"100"))))</f>
        <v>0</v>
      </c>
      <c r="F35" s="12">
        <v>0</v>
      </c>
      <c r="G35" s="13" t="str">
        <f>IF(F35&gt;2,"0",IF(F35=2,"100",IF(F35=1,"140",IF(F35=0,"150"))))</f>
        <v>150</v>
      </c>
      <c r="H35" s="13">
        <f>(E35+G35)*(40)/(100)</f>
        <v>60</v>
      </c>
    </row>
    <row r="36" spans="1:11" x14ac:dyDescent="0.25">
      <c r="A36" s="10" t="s">
        <v>19</v>
      </c>
      <c r="B36" s="11" t="s">
        <v>6</v>
      </c>
      <c r="C36" s="11" t="s">
        <v>43</v>
      </c>
      <c r="D36" s="14" t="s">
        <v>17</v>
      </c>
      <c r="E36" s="13" t="str">
        <f>IF(D36&gt;3,"0",IF(D36&lt;1,"0",J36))</f>
        <v>0</v>
      </c>
      <c r="F36" s="14">
        <v>-15.14</v>
      </c>
      <c r="G36" s="13" t="str">
        <f>IF(F36&gt;1,"0",IF(F36&lt;-2,"150",K36))</f>
        <v>150</v>
      </c>
      <c r="H36" s="13">
        <f>(E36+G36)*(15)/(100)</f>
        <v>22.5</v>
      </c>
      <c r="J36" s="5" t="e">
        <f>(3-D36)*(50)/(2)+(50)</f>
        <v>#VALUE!</v>
      </c>
      <c r="K36" s="5">
        <f>(1-F36)*(50)/(3)+100</f>
        <v>369</v>
      </c>
    </row>
    <row r="37" spans="1:11" x14ac:dyDescent="0.25">
      <c r="A37" s="10" t="s">
        <v>19</v>
      </c>
      <c r="B37" s="11" t="s">
        <v>7</v>
      </c>
      <c r="C37" s="11" t="s">
        <v>43</v>
      </c>
      <c r="D37" s="14" t="s">
        <v>17</v>
      </c>
      <c r="E37" s="13" t="str">
        <f>IF(D37&gt;3,"0",IF(D37&lt;1,"0",J37))</f>
        <v>0</v>
      </c>
      <c r="F37" s="14">
        <v>-3.65</v>
      </c>
      <c r="G37" s="13" t="str">
        <f>IF(F37&gt;1,"0",IF(F37&lt;-2,"150",K37))</f>
        <v>150</v>
      </c>
      <c r="H37" s="13">
        <f>(E37+G37)*(15)/(100)</f>
        <v>22.5</v>
      </c>
      <c r="J37" s="5" t="e">
        <f>(3-D37)*(50)/(2)+(50)</f>
        <v>#VALUE!</v>
      </c>
      <c r="K37" s="5">
        <f>(1-F37)*(50)/(3)+100</f>
        <v>177.5</v>
      </c>
    </row>
    <row r="38" spans="1:11" x14ac:dyDescent="0.25">
      <c r="A38" s="10" t="s">
        <v>31</v>
      </c>
      <c r="B38" s="11" t="s">
        <v>33</v>
      </c>
      <c r="C38" s="11" t="s">
        <v>40</v>
      </c>
      <c r="D38" s="14" t="s">
        <v>17</v>
      </c>
      <c r="E38" s="13" t="str">
        <f>IF(D38&gt;11.9,"0",IF(D38&lt;7,"0",J38))</f>
        <v>0</v>
      </c>
      <c r="F38" s="14">
        <v>5.57</v>
      </c>
      <c r="G38" s="13">
        <f>IF(F38&gt;7,"0",IF(F38&lt;4.9,"150",K38))</f>
        <v>134.04761904761904</v>
      </c>
      <c r="H38" s="13">
        <f>(E38+G38)*(10)/(100)</f>
        <v>13.404761904761903</v>
      </c>
      <c r="J38" s="5" t="e">
        <f>(11.9-D38)*(50)/(4.9)+50</f>
        <v>#VALUE!</v>
      </c>
      <c r="K38" s="5">
        <f>(7-F38)*(50)/(2.1)+100</f>
        <v>134.04761904761904</v>
      </c>
    </row>
    <row r="39" spans="1:11" x14ac:dyDescent="0.25">
      <c r="A39" s="10" t="s">
        <v>32</v>
      </c>
      <c r="B39" s="11" t="s">
        <v>35</v>
      </c>
      <c r="C39" s="11" t="s">
        <v>46</v>
      </c>
      <c r="D39" s="14">
        <v>95.9</v>
      </c>
      <c r="E39" s="13">
        <f>IF(D39&gt;96.5,"0",IF(D39&lt;92,"0",J39))</f>
        <v>93.3333333333334</v>
      </c>
      <c r="F39" s="14"/>
      <c r="G39" s="13" t="str">
        <f>IF(F39&lt;96.5,"0",IF(F39&gt;98.5,"150",K39))</f>
        <v>0</v>
      </c>
      <c r="H39" s="13">
        <f>(E39+G39)*(20)/(100)</f>
        <v>18.666666666666679</v>
      </c>
      <c r="J39" s="5">
        <f>(D39-92)*(50)/(4.5)+(50)</f>
        <v>93.3333333333334</v>
      </c>
      <c r="K39" s="5">
        <f>(F39-96.5)*(50)/(2)+(100)</f>
        <v>-2312.5</v>
      </c>
    </row>
    <row r="40" spans="1:11" x14ac:dyDescent="0.25">
      <c r="A40" s="13"/>
      <c r="B40" s="11"/>
      <c r="C40" s="11"/>
      <c r="D40" s="13"/>
      <c r="E40" s="13"/>
      <c r="F40" s="13"/>
      <c r="G40" s="11"/>
      <c r="H40" s="8">
        <f>SUM(H35:H39)</f>
        <v>137.07142857142858</v>
      </c>
    </row>
    <row r="41" spans="1:11" x14ac:dyDescent="0.25">
      <c r="A41" s="15"/>
      <c r="B41" s="16"/>
      <c r="C41" s="16"/>
      <c r="D41" s="15"/>
      <c r="E41" s="15"/>
      <c r="F41" s="15"/>
      <c r="G41" s="16"/>
      <c r="H41" s="17"/>
    </row>
    <row r="43" spans="1:11" x14ac:dyDescent="0.25">
      <c r="A43" s="7" t="s">
        <v>30</v>
      </c>
    </row>
    <row r="44" spans="1:11" s="2" customFormat="1" x14ac:dyDescent="0.25">
      <c r="A44" s="8" t="s">
        <v>0</v>
      </c>
      <c r="B44" s="9" t="s">
        <v>1</v>
      </c>
      <c r="C44" s="9" t="s">
        <v>10</v>
      </c>
      <c r="D44" s="8" t="s">
        <v>2</v>
      </c>
      <c r="E44" s="8" t="s">
        <v>3</v>
      </c>
      <c r="F44" s="8" t="s">
        <v>4</v>
      </c>
      <c r="G44" s="9" t="s">
        <v>3</v>
      </c>
      <c r="H44" s="9" t="s">
        <v>5</v>
      </c>
      <c r="J44" s="3" t="s">
        <v>38</v>
      </c>
      <c r="K44" s="3" t="s">
        <v>39</v>
      </c>
    </row>
    <row r="45" spans="1:11" x14ac:dyDescent="0.25">
      <c r="A45" s="10" t="s">
        <v>18</v>
      </c>
      <c r="B45" s="11" t="s">
        <v>11</v>
      </c>
      <c r="C45" s="10" t="s">
        <v>49</v>
      </c>
      <c r="D45" s="12" t="s">
        <v>17</v>
      </c>
      <c r="E45" s="13" t="str">
        <f>IF(D45&gt;4,"0", IF(D45=4,"50",IF(D45=3,"75",IF(D45=2,"100"))))</f>
        <v>0</v>
      </c>
      <c r="F45" s="12">
        <v>0</v>
      </c>
      <c r="G45" s="13" t="str">
        <f>IF(F45&gt;2,"0",IF(F45=2,"100",IF(F45=1,"140",IF(F45=0,"150"))))</f>
        <v>150</v>
      </c>
      <c r="H45" s="13">
        <f>(E45+G45)*(40)/(100)</f>
        <v>60</v>
      </c>
    </row>
    <row r="46" spans="1:11" x14ac:dyDescent="0.25">
      <c r="A46" s="10" t="s">
        <v>19</v>
      </c>
      <c r="B46" s="11" t="s">
        <v>6</v>
      </c>
      <c r="C46" s="11" t="s">
        <v>43</v>
      </c>
      <c r="D46" s="14" t="s">
        <v>17</v>
      </c>
      <c r="E46" s="13" t="str">
        <f>IF(D46&gt;3,"0",IF(D46&lt;1,"0",J46))</f>
        <v>0</v>
      </c>
      <c r="F46" s="14">
        <v>-15.14</v>
      </c>
      <c r="G46" s="13" t="str">
        <f>IF(F46&gt;1,"0",IF(F46&lt;-2,"150",K46))</f>
        <v>150</v>
      </c>
      <c r="H46" s="13">
        <f>(E46+G46)*(15)/(100)</f>
        <v>22.5</v>
      </c>
      <c r="J46" s="5" t="e">
        <f>(3-D46)*(50)/(2)+(50)</f>
        <v>#VALUE!</v>
      </c>
      <c r="K46" s="5">
        <f>(1-F46)*(50)/(3)+100</f>
        <v>369</v>
      </c>
    </row>
    <row r="47" spans="1:11" x14ac:dyDescent="0.25">
      <c r="A47" s="10" t="s">
        <v>19</v>
      </c>
      <c r="B47" s="11" t="s">
        <v>7</v>
      </c>
      <c r="C47" s="11" t="s">
        <v>43</v>
      </c>
      <c r="D47" s="14" t="s">
        <v>17</v>
      </c>
      <c r="E47" s="13" t="str">
        <f>IF(D47&gt;3,"0",IF(D47&lt;1,"0",J47))</f>
        <v>0</v>
      </c>
      <c r="F47" s="14">
        <v>-3.65</v>
      </c>
      <c r="G47" s="13" t="str">
        <f>IF(F47&gt;1,"0",IF(F47&lt;-2,"150",K47))</f>
        <v>150</v>
      </c>
      <c r="H47" s="13">
        <f>(E47+G47)*(15)/(100)</f>
        <v>22.5</v>
      </c>
      <c r="J47" s="5" t="e">
        <f>(3-D47)*(50)/(2)+(50)</f>
        <v>#VALUE!</v>
      </c>
      <c r="K47" s="5">
        <f>(1-F47)*(50)/(3)+100</f>
        <v>177.5</v>
      </c>
    </row>
    <row r="48" spans="1:11" x14ac:dyDescent="0.25">
      <c r="A48" s="10" t="s">
        <v>31</v>
      </c>
      <c r="B48" s="11" t="s">
        <v>33</v>
      </c>
      <c r="C48" s="11" t="s">
        <v>40</v>
      </c>
      <c r="D48" s="14" t="s">
        <v>17</v>
      </c>
      <c r="E48" s="13" t="str">
        <f>IF(D48&gt;11.9,"0",IF(D48&lt;7,"0",J48))</f>
        <v>0</v>
      </c>
      <c r="F48" s="14">
        <v>5.57</v>
      </c>
      <c r="G48" s="13">
        <f>IF(F48&gt;7,"0",IF(F48&lt;4.9,"150",K48))</f>
        <v>134.04761904761904</v>
      </c>
      <c r="H48" s="13">
        <f>(E48+G48)*(10)/(100)</f>
        <v>13.404761904761903</v>
      </c>
      <c r="J48" s="5" t="e">
        <f>(11.9-D48)*(50)/(4.9)+50</f>
        <v>#VALUE!</v>
      </c>
      <c r="K48" s="5">
        <f>(7-F48)*(50)/(2.1)+100</f>
        <v>134.04761904761904</v>
      </c>
    </row>
    <row r="49" spans="1:11" x14ac:dyDescent="0.25">
      <c r="A49" s="10" t="s">
        <v>32</v>
      </c>
      <c r="B49" s="11" t="s">
        <v>34</v>
      </c>
      <c r="C49" s="11" t="s">
        <v>41</v>
      </c>
      <c r="D49" s="14" t="s">
        <v>17</v>
      </c>
      <c r="E49" s="13" t="str">
        <f>IF(D49&gt;33.7,"0",IF(D49&lt;19.8,"0",J49))</f>
        <v>0</v>
      </c>
      <c r="F49" s="14">
        <v>19.260000000000002</v>
      </c>
      <c r="G49" s="13">
        <f>IF(F49&gt;19.8,"0",IF(F49&lt;13.9,"150",K49))</f>
        <v>104.57627118644066</v>
      </c>
      <c r="H49" s="13">
        <f>(E49+G49)*(20)/(100)</f>
        <v>20.915254237288131</v>
      </c>
      <c r="J49" s="5" t="e">
        <f>(33.7-D49)*(50)/(13.9)+50</f>
        <v>#VALUE!</v>
      </c>
      <c r="K49" s="5">
        <f>(19.8-F49)*(50)/(5.9)+100</f>
        <v>104.57627118644066</v>
      </c>
    </row>
    <row r="50" spans="1:11" x14ac:dyDescent="0.25">
      <c r="A50" s="13"/>
      <c r="B50" s="11"/>
      <c r="C50" s="11"/>
      <c r="D50" s="13"/>
      <c r="E50" s="13"/>
      <c r="F50" s="13"/>
      <c r="G50" s="11"/>
      <c r="H50" s="8">
        <f>SUM(H45:H49)</f>
        <v>139.32001614205004</v>
      </c>
    </row>
    <row r="53" spans="1:11" x14ac:dyDescent="0.25">
      <c r="A53" s="25" t="s">
        <v>16</v>
      </c>
      <c r="B53" s="26"/>
      <c r="C53" s="26"/>
      <c r="D53" s="25"/>
      <c r="E53" s="26"/>
      <c r="F53" s="26"/>
      <c r="G53" s="26"/>
      <c r="H53" s="26"/>
    </row>
    <row r="54" spans="1:11" x14ac:dyDescent="0.25">
      <c r="D54" s="25"/>
      <c r="E54" s="26"/>
      <c r="F54" s="26"/>
      <c r="G54" s="26"/>
      <c r="H54" s="26"/>
    </row>
    <row r="55" spans="1:11" x14ac:dyDescent="0.25">
      <c r="A55" s="20" t="s">
        <v>50</v>
      </c>
      <c r="D55" s="25"/>
      <c r="E55" s="26"/>
      <c r="F55" s="26"/>
      <c r="G55" s="26"/>
      <c r="H55" s="26"/>
    </row>
    <row r="56" spans="1:11" x14ac:dyDescent="0.25">
      <c r="A56" s="18" t="s">
        <v>14</v>
      </c>
      <c r="B56" s="19"/>
      <c r="D56" s="25"/>
      <c r="E56" s="26"/>
      <c r="F56" s="26"/>
      <c r="G56" s="26"/>
      <c r="H56" s="26"/>
    </row>
    <row r="57" spans="1:11" x14ac:dyDescent="0.25">
      <c r="A57" s="20"/>
    </row>
    <row r="58" spans="1:11" x14ac:dyDescent="0.25">
      <c r="A58" s="22" t="s">
        <v>12</v>
      </c>
      <c r="B58" s="23"/>
    </row>
    <row r="59" spans="1:11" x14ac:dyDescent="0.25">
      <c r="A59" s="18" t="s">
        <v>23</v>
      </c>
      <c r="B59" s="21"/>
    </row>
    <row r="60" spans="1:11" x14ac:dyDescent="0.25">
      <c r="A60" s="24" t="s">
        <v>24</v>
      </c>
    </row>
    <row r="61" spans="1:11" x14ac:dyDescent="0.25">
      <c r="A61" s="24" t="s">
        <v>25</v>
      </c>
    </row>
  </sheetData>
  <mergeCells count="5">
    <mergeCell ref="A1:H1"/>
    <mergeCell ref="A2:H2"/>
    <mergeCell ref="A59:B59"/>
    <mergeCell ref="A56:B56"/>
    <mergeCell ref="A58:B58"/>
  </mergeCells>
  <phoneticPr fontId="0" type="noConversion"/>
  <pageMargins left="0.5" right="0.5" top="1" bottom="1.25" header="0.5" footer="0.5"/>
  <pageSetup scale="58" fitToHeight="0" orientation="landscape" r:id="rId1"/>
  <headerFooter scaleWithDoc="0" alignWithMargins="0">
    <oddFooter>&amp;R&amp;"Times New Roman,Bold"&amp;12Attachment to Response to AG-2 Question No. 15(e)
Page &amp;P of &amp;N
Meiman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015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Meiman, Greg J.</Witness_x0020_Testimony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A4EDDA90-0109-457D-8A3F-A8241753424C}"/>
</file>

<file path=customXml/itemProps2.xml><?xml version="1.0" encoding="utf-8"?>
<ds:datastoreItem xmlns:ds="http://schemas.openxmlformats.org/officeDocument/2006/customXml" ds:itemID="{316DF66D-036C-43A3-AB9C-49BB7D04E349}"/>
</file>

<file path=customXml/itemProps3.xml><?xml version="1.0" encoding="utf-8"?>
<ds:datastoreItem xmlns:ds="http://schemas.openxmlformats.org/officeDocument/2006/customXml" ds:itemID="{3B62DB70-443F-49D4-9723-A208A40444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2017-02-16T13:29:37Z</dcterms:created>
  <dcterms:modified xsi:type="dcterms:W3CDTF">2017-02-16T13:29:42Z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